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628"/>
  <workbookPr showInkAnnotation="0" defaultThemeVersion="124226"/>
  <mc:AlternateContent xmlns:mc="http://schemas.openxmlformats.org/markup-compatibility/2006">
    <mc:Choice Requires="x15">
      <x15ac:absPath xmlns:x15ac="http://schemas.microsoft.com/office/spreadsheetml/2010/11/ac" url="G:\TeknikoFastighetsforvaltning\T Trafik &amp; Tillståndsenhet\Strategiska dokument\Program och riktlinjer för parkering\10. Kopparlunden - särskild överenskommelse, P-snurra 2022\"/>
    </mc:Choice>
  </mc:AlternateContent>
  <xr:revisionPtr revIDLastSave="0" documentId="13_ncr:1_{63DB20B6-DF21-44DC-BE6F-8CA65D936F44}" xr6:coauthVersionLast="46" xr6:coauthVersionMax="46" xr10:uidLastSave="{00000000-0000-0000-0000-000000000000}"/>
  <workbookProtection workbookAlgorithmName="SHA-512" workbookHashValue="89LGLU4V8CtzGKIGuW6JUFdEyeWP1PHU0MpFqE5neoZbyZ7SrlcfAuREZT2Cv5BMKdoXigmgutVEGbM/bnDVbg==" workbookSaltValue="o0ARirA62ZVyWIcCk4W9Fw==" workbookSpinCount="100000" lockStructure="1"/>
  <bookViews>
    <workbookView xWindow="-110" yWindow="-110" windowWidth="19420" windowHeight="10420" activeTab="1" xr2:uid="{00000000-000D-0000-FFFF-FFFF00000000}"/>
  </bookViews>
  <sheets>
    <sheet name="Introduktion" sheetId="15" r:id="rId1"/>
    <sheet name="Förutsättningar" sheetId="3" r:id="rId2"/>
    <sheet name="Resultatsammanfattning" sheetId="14" r:id="rId3"/>
    <sheet name="Cykel" sheetId="4" r:id="rId4"/>
    <sheet name="Bil grundtal" sheetId="5" state="hidden" r:id="rId5"/>
    <sheet name="Red bilpool" sheetId="7" state="hidden" r:id="rId6"/>
    <sheet name="Red MM" sheetId="8" state="hidden" r:id="rId7"/>
    <sheet name="Red samnyttjande Kopparlunden" sheetId="13" state="hidden" r:id="rId8"/>
    <sheet name="Detaljerat resultat" sheetId="12" state="hidden" r:id="rId9"/>
    <sheet name="Ptal bil" sheetId="1" state="hidden" r:id="rId10"/>
    <sheet name="Ptal cykel" sheetId="2" state="hidden" r:id="rId1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9" i="13" l="1"/>
  <c r="B9" i="8" l="1"/>
  <c r="B9" i="7" l="1"/>
  <c r="B9" i="5" l="1"/>
  <c r="B9" i="4"/>
  <c r="B43" i="5" l="1"/>
  <c r="B47" i="5"/>
  <c r="C47" i="5" s="1"/>
  <c r="B41" i="7" s="1"/>
  <c r="B12" i="4"/>
  <c r="B32" i="4"/>
  <c r="C9" i="5"/>
  <c r="B25" i="5"/>
  <c r="C25" i="5" s="1"/>
  <c r="B51" i="4"/>
  <c r="B47" i="4"/>
  <c r="B43" i="4"/>
  <c r="B41" i="4"/>
  <c r="B52" i="4"/>
  <c r="B50" i="4"/>
  <c r="B48" i="4"/>
  <c r="B46" i="4"/>
  <c r="B44" i="4"/>
  <c r="B42" i="4"/>
  <c r="B40" i="4"/>
  <c r="B38" i="4"/>
  <c r="B16" i="4"/>
  <c r="B49" i="4"/>
  <c r="B45" i="4"/>
  <c r="B39" i="4"/>
  <c r="B15" i="4"/>
  <c r="B60" i="5"/>
  <c r="C60" i="5" s="1"/>
  <c r="B58" i="7" s="1"/>
  <c r="B61" i="5"/>
  <c r="C61" i="5" s="1"/>
  <c r="B59" i="7" s="1"/>
  <c r="B59" i="5"/>
  <c r="C59" i="5" s="1"/>
  <c r="B57" i="7" s="1"/>
  <c r="B53" i="5"/>
  <c r="C53" i="5" s="1"/>
  <c r="B51" i="7" s="1"/>
  <c r="B19" i="4"/>
  <c r="B21" i="4"/>
  <c r="B20" i="4"/>
  <c r="B18" i="4"/>
  <c r="B57" i="5"/>
  <c r="B56" i="5"/>
  <c r="B55" i="5"/>
  <c r="B52" i="5"/>
  <c r="B49" i="5"/>
  <c r="B50" i="5"/>
  <c r="B34" i="5"/>
  <c r="C34" i="5" s="1"/>
  <c r="B40" i="5"/>
  <c r="H31" i="7" s="1"/>
  <c r="B39" i="5"/>
  <c r="H17" i="7" s="1"/>
  <c r="B23" i="5"/>
  <c r="C23" i="5" s="1"/>
  <c r="B12" i="5"/>
  <c r="B46" i="5"/>
  <c r="C46" i="5" s="1"/>
  <c r="B44" i="5"/>
  <c r="B35" i="5"/>
  <c r="C35" i="5" s="1"/>
  <c r="B36" i="5"/>
  <c r="C36" i="5" s="1"/>
  <c r="B21" i="5"/>
  <c r="C21" i="5" s="1"/>
  <c r="B28" i="5"/>
  <c r="C28" i="5" s="1"/>
  <c r="B26" i="5"/>
  <c r="C26" i="5" s="1"/>
  <c r="B20" i="5"/>
  <c r="C20" i="5" s="1"/>
  <c r="B22" i="5"/>
  <c r="C22" i="5" s="1"/>
  <c r="B27" i="5"/>
  <c r="C27" i="5" s="1"/>
  <c r="B16" i="5"/>
  <c r="C16" i="5" s="1"/>
  <c r="B17" i="5"/>
  <c r="C17" i="5" s="1"/>
  <c r="B13" i="5"/>
  <c r="B24" i="4"/>
  <c r="B26" i="4"/>
  <c r="B23" i="4"/>
  <c r="B25" i="4"/>
  <c r="B65" i="5" l="1"/>
  <c r="B63" i="5"/>
  <c r="B43" i="7"/>
  <c r="B44" i="8" s="1"/>
  <c r="H34" i="7"/>
  <c r="H11" i="7"/>
  <c r="I11" i="7" s="1"/>
  <c r="G11" i="8"/>
  <c r="B64" i="5"/>
  <c r="C40" i="5"/>
  <c r="B30" i="7"/>
  <c r="H14" i="7" s="1"/>
  <c r="H32" i="7" s="1"/>
  <c r="C13" i="5"/>
  <c r="C43" i="5"/>
  <c r="C50" i="5"/>
  <c r="B47" i="7" s="1"/>
  <c r="B48" i="8" s="1"/>
  <c r="C52" i="5"/>
  <c r="B49" i="7" s="1"/>
  <c r="B50" i="8" s="1"/>
  <c r="B52" i="8"/>
  <c r="C57" i="5"/>
  <c r="B55" i="7" s="1"/>
  <c r="B56" i="8" s="1"/>
  <c r="B28" i="4"/>
  <c r="C44" i="5"/>
  <c r="C12" i="5"/>
  <c r="I17" i="7"/>
  <c r="G17" i="8"/>
  <c r="H17" i="8" s="1"/>
  <c r="C39" i="5"/>
  <c r="B37" i="13" s="1"/>
  <c r="C49" i="5"/>
  <c r="B45" i="7" s="1"/>
  <c r="B46" i="8" s="1"/>
  <c r="C55" i="5"/>
  <c r="B53" i="7" s="1"/>
  <c r="B54" i="8" s="1"/>
  <c r="C56" i="5"/>
  <c r="B54" i="7" s="1"/>
  <c r="B55" i="8" s="1"/>
  <c r="B29" i="4"/>
  <c r="I6" i="4" s="1"/>
  <c r="B60" i="8"/>
  <c r="B58" i="8"/>
  <c r="B59" i="8"/>
  <c r="B42" i="8"/>
  <c r="G37" i="8"/>
  <c r="J37" i="8" s="1"/>
  <c r="G33" i="8"/>
  <c r="J33" i="8" s="1"/>
  <c r="K31" i="7"/>
  <c r="B31" i="5"/>
  <c r="C31" i="5" s="1"/>
  <c r="B30" i="5"/>
  <c r="B11" i="12" l="1"/>
  <c r="B10" i="14"/>
  <c r="B30" i="13"/>
  <c r="B27" i="13"/>
  <c r="B29" i="13"/>
  <c r="B28" i="13"/>
  <c r="B25" i="13"/>
  <c r="B37" i="7"/>
  <c r="H20" i="7" s="1"/>
  <c r="I20" i="7" s="1"/>
  <c r="C63" i="5"/>
  <c r="E9" i="5" s="1"/>
  <c r="C65" i="5"/>
  <c r="E5" i="5"/>
  <c r="B39" i="7"/>
  <c r="H21" i="7" s="1"/>
  <c r="J21" i="7" s="1"/>
  <c r="C64" i="5"/>
  <c r="E6" i="5" s="1"/>
  <c r="K34" i="7"/>
  <c r="M19" i="5"/>
  <c r="B16" i="7" s="1"/>
  <c r="B31" i="8"/>
  <c r="G14" i="8" s="1"/>
  <c r="H14" i="8" s="1"/>
  <c r="C30" i="5"/>
  <c r="H11" i="8"/>
  <c r="I14" i="7"/>
  <c r="B36" i="14" l="1"/>
  <c r="B22" i="14"/>
  <c r="B15" i="12"/>
  <c r="B14" i="14"/>
  <c r="B16" i="12"/>
  <c r="B15" i="14"/>
  <c r="B38" i="8"/>
  <c r="G20" i="8" s="1"/>
  <c r="H20" i="8" s="1"/>
  <c r="G35" i="8"/>
  <c r="N35" i="8" s="1"/>
  <c r="I24" i="7"/>
  <c r="B61" i="7"/>
  <c r="H35" i="7"/>
  <c r="B40" i="8"/>
  <c r="E8" i="5"/>
  <c r="H28" i="7"/>
  <c r="K28" i="7" s="1"/>
  <c r="B17" i="8"/>
  <c r="B28" i="7"/>
  <c r="B29" i="8" s="1"/>
  <c r="B26" i="7"/>
  <c r="B27" i="8" s="1"/>
  <c r="B21" i="7"/>
  <c r="B22" i="8" s="1"/>
  <c r="L32" i="7"/>
  <c r="N34" i="8"/>
  <c r="B18" i="7"/>
  <c r="B19" i="8" s="1"/>
  <c r="G29" i="8"/>
  <c r="J29" i="8" s="1"/>
  <c r="B23" i="7"/>
  <c r="B24" i="8" s="1"/>
  <c r="B17" i="12" l="1"/>
  <c r="B18" i="12" s="1"/>
  <c r="B39" i="12" s="1"/>
  <c r="B62" i="8"/>
  <c r="B16" i="14"/>
  <c r="B17" i="14" s="1"/>
  <c r="B32" i="14" s="1"/>
  <c r="B26" i="13"/>
  <c r="H25" i="7"/>
  <c r="J25" i="7" s="1"/>
  <c r="G21" i="8"/>
  <c r="I21" i="8" s="1"/>
  <c r="B30" i="14" s="1"/>
  <c r="H7" i="7"/>
  <c r="I7" i="7" s="1"/>
  <c r="L35" i="7"/>
  <c r="B23" i="12"/>
  <c r="G7" i="8"/>
  <c r="G8" i="8"/>
  <c r="O38" i="8"/>
  <c r="H8" i="7"/>
  <c r="J8" i="7" s="1"/>
  <c r="B33" i="12" l="1"/>
  <c r="B25" i="12"/>
  <c r="B24" i="14"/>
  <c r="B40" i="14"/>
  <c r="B21" i="14"/>
  <c r="B24" i="12"/>
  <c r="B23" i="14"/>
  <c r="B23" i="13"/>
  <c r="I8" i="8"/>
  <c r="B24" i="13"/>
  <c r="K24" i="7"/>
  <c r="L29" i="7"/>
  <c r="M37" i="7" s="1"/>
  <c r="M38" i="7"/>
  <c r="B22" i="12"/>
  <c r="G39" i="8"/>
  <c r="O39" i="8" s="1"/>
  <c r="B31" i="12"/>
  <c r="H7" i="8"/>
  <c r="H29" i="7"/>
  <c r="G25" i="8"/>
  <c r="I25" i="8" s="1"/>
  <c r="B26" i="12" l="1"/>
  <c r="J24" i="8"/>
  <c r="B29" i="14"/>
  <c r="B25" i="14"/>
  <c r="B31" i="14"/>
  <c r="B41" i="14" s="1"/>
  <c r="I43" i="8"/>
  <c r="B36" i="13"/>
  <c r="B31" i="13"/>
  <c r="E35" i="13" s="1"/>
  <c r="H24" i="8"/>
  <c r="N30" i="8"/>
  <c r="I41" i="8" s="1"/>
  <c r="B30" i="12"/>
  <c r="G31" i="8"/>
  <c r="N31" i="8" s="1"/>
  <c r="I42" i="8" s="1"/>
  <c r="B33" i="14" l="1"/>
  <c r="B39" i="14"/>
  <c r="B38" i="14" s="1"/>
  <c r="B38" i="12"/>
  <c r="B40" i="13"/>
  <c r="B39" i="13"/>
  <c r="B32" i="12"/>
  <c r="B43" i="14" l="1"/>
  <c r="B40" i="12"/>
  <c r="B34" i="12"/>
  <c r="B44" i="12" s="1"/>
  <c r="B42" i="12" l="1"/>
</calcChain>
</file>

<file path=xl/sharedStrings.xml><?xml version="1.0" encoding="utf-8"?>
<sst xmlns="http://schemas.openxmlformats.org/spreadsheetml/2006/main" count="629" uniqueCount="327">
  <si>
    <t>Markanvändning</t>
  </si>
  <si>
    <t>Zon 1</t>
  </si>
  <si>
    <t>Zon 2</t>
  </si>
  <si>
    <t>Zon 3</t>
  </si>
  <si>
    <t>Zon 4</t>
  </si>
  <si>
    <t>Zon 5</t>
  </si>
  <si>
    <r>
      <t>Lägenheter i flerbostadshus</t>
    </r>
    <r>
      <rPr>
        <sz val="11"/>
        <color theme="1"/>
        <rFont val="Times New Roman"/>
        <family val="1"/>
      </rPr>
      <t>, bilplatser per 1000 kvm BTA exkl besök</t>
    </r>
  </si>
  <si>
    <r>
      <t>Lägenheter i flerbostadshus</t>
    </r>
    <r>
      <rPr>
        <sz val="11"/>
        <color theme="1"/>
        <rFont val="Times New Roman"/>
        <family val="1"/>
      </rPr>
      <t>, bilplatser per 1000 kvm BTA inkl besök</t>
    </r>
  </si>
  <si>
    <r>
      <t>Lägenhet i flerbostadshus</t>
    </r>
    <r>
      <rPr>
        <sz val="11"/>
        <color theme="1"/>
        <rFont val="Times New Roman"/>
        <family val="1"/>
      </rPr>
      <t>, bilplatser per genomsnittlig lägenhet exkl besök</t>
    </r>
  </si>
  <si>
    <t>Bilplatser per lägenhet, 1 rum, exkl besök</t>
  </si>
  <si>
    <t>Bilplatser per lägenhet, 2 rum, exkl besök</t>
  </si>
  <si>
    <t>Bilplatser per lägenhet, 3 rum, exkl besök</t>
  </si>
  <si>
    <t>Bilplatser per lägenhet, 4 rum, exkl besök</t>
  </si>
  <si>
    <r>
      <t>Lägenhet i flerbostadshus</t>
    </r>
    <r>
      <rPr>
        <sz val="11"/>
        <color theme="1"/>
        <rFont val="Times New Roman"/>
        <family val="1"/>
      </rPr>
      <t>, bilplatser per genomsnittlig lägenhet inkl besök</t>
    </r>
  </si>
  <si>
    <t>Bilplatser per lägenhet, 1 rum, inkl besök</t>
  </si>
  <si>
    <t>Bilplatser per lägenhet, 2 rum, inkl besök</t>
  </si>
  <si>
    <t>Bilplatser per lägenhet, 3 rum, inkl besök</t>
  </si>
  <si>
    <t>Bilplatser per lägenhet, 4 rum, inkl besök</t>
  </si>
  <si>
    <r>
      <t>Studentbostäder</t>
    </r>
    <r>
      <rPr>
        <sz val="11"/>
        <color theme="1"/>
        <rFont val="Times New Roman"/>
        <family val="1"/>
      </rPr>
      <t>, bilplatser per studentrum i korridor</t>
    </r>
  </si>
  <si>
    <r>
      <t>Studentbostäder</t>
    </r>
    <r>
      <rPr>
        <sz val="11"/>
        <color theme="1"/>
        <rFont val="Times New Roman"/>
        <family val="1"/>
      </rPr>
      <t>, bilplatser per studentlägenhet</t>
    </r>
  </si>
  <si>
    <r>
      <t>Studentbostäder</t>
    </r>
    <r>
      <rPr>
        <sz val="11"/>
        <color theme="1"/>
        <rFont val="Times New Roman"/>
        <family val="1"/>
      </rPr>
      <t>, bilplatser per 1000 kvm BTA</t>
    </r>
  </si>
  <si>
    <r>
      <t xml:space="preserve">Småhus </t>
    </r>
    <r>
      <rPr>
        <sz val="11"/>
        <color theme="1"/>
        <rFont val="Times New Roman"/>
        <family val="1"/>
      </rPr>
      <t>med parkering på tomten, per enhet</t>
    </r>
  </si>
  <si>
    <r>
      <t xml:space="preserve">Småhus/radhus </t>
    </r>
    <r>
      <rPr>
        <sz val="11"/>
        <color theme="1"/>
        <rFont val="Times New Roman"/>
        <family val="1"/>
      </rPr>
      <t>med gemensam parkering, per enhet</t>
    </r>
  </si>
  <si>
    <r>
      <t>Kontor</t>
    </r>
    <r>
      <rPr>
        <sz val="11"/>
        <color theme="1"/>
        <rFont val="Times New Roman"/>
        <family val="1"/>
      </rPr>
      <t>, bilplatser per 1000 kvm BTA, exkl besök</t>
    </r>
  </si>
  <si>
    <r>
      <t>Kontor</t>
    </r>
    <r>
      <rPr>
        <sz val="11"/>
        <color theme="1"/>
        <rFont val="Times New Roman"/>
        <family val="1"/>
      </rPr>
      <t xml:space="preserve">, bilplatser per 1000 kvm BTA, inkl besök </t>
    </r>
  </si>
  <si>
    <r>
      <t>Industri och hantverk</t>
    </r>
    <r>
      <rPr>
        <sz val="11"/>
        <color theme="1"/>
        <rFont val="Times New Roman"/>
        <family val="1"/>
      </rPr>
      <t>, bilplatser per 1000 kvm BTA, exkl besök</t>
    </r>
  </si>
  <si>
    <r>
      <t>Industri och hantverk</t>
    </r>
    <r>
      <rPr>
        <sz val="11"/>
        <color theme="1"/>
        <rFont val="Times New Roman"/>
        <family val="1"/>
      </rPr>
      <t>, bilplatser per 1000 kvm BTA, inkl besök</t>
    </r>
  </si>
  <si>
    <r>
      <t>Skola</t>
    </r>
    <r>
      <rPr>
        <sz val="11"/>
        <color theme="1"/>
        <rFont val="Times New Roman"/>
        <family val="1"/>
      </rPr>
      <t>, bilplatser per 1000 kvm BTA</t>
    </r>
  </si>
  <si>
    <r>
      <t>Förskola</t>
    </r>
    <r>
      <rPr>
        <sz val="11"/>
        <color theme="1"/>
        <rFont val="Times New Roman"/>
        <family val="1"/>
      </rPr>
      <t>, bilplatser per 1000 kvm BTA</t>
    </r>
  </si>
  <si>
    <r>
      <t>Dagligvarubutiker</t>
    </r>
    <r>
      <rPr>
        <sz val="11"/>
        <color theme="1"/>
        <rFont val="Times New Roman"/>
        <family val="1"/>
      </rPr>
      <t>, bilplatser per 1000 kvm BTA, anställda + besökare</t>
    </r>
  </si>
  <si>
    <r>
      <t>Hotell</t>
    </r>
    <r>
      <rPr>
        <sz val="11"/>
        <color theme="1"/>
        <rFont val="Times New Roman"/>
        <family val="1"/>
      </rPr>
      <t>, bilplatser per rum</t>
    </r>
  </si>
  <si>
    <r>
      <t>Hotell</t>
    </r>
    <r>
      <rPr>
        <sz val="11"/>
        <color theme="1"/>
        <rFont val="Times New Roman"/>
        <family val="1"/>
      </rPr>
      <t>, bilplatser per 1000 kvm BTA</t>
    </r>
  </si>
  <si>
    <r>
      <t>Lunchbar</t>
    </r>
    <r>
      <rPr>
        <sz val="11"/>
        <color theme="1"/>
        <rFont val="Times New Roman"/>
        <family val="1"/>
      </rPr>
      <t>, bilplatser per sittplats</t>
    </r>
  </si>
  <si>
    <r>
      <t>Lunchbar</t>
    </r>
    <r>
      <rPr>
        <sz val="11"/>
        <color theme="1"/>
        <rFont val="Times New Roman"/>
        <family val="1"/>
      </rPr>
      <t>, bilplatser per 1000 kvm BTA</t>
    </r>
  </si>
  <si>
    <r>
      <t>Restaurang</t>
    </r>
    <r>
      <rPr>
        <sz val="11"/>
        <color theme="1"/>
        <rFont val="Times New Roman"/>
        <family val="1"/>
      </rPr>
      <t>, bilplatser per sittplats</t>
    </r>
  </si>
  <si>
    <r>
      <t>Restaurang</t>
    </r>
    <r>
      <rPr>
        <sz val="11"/>
        <color theme="1"/>
        <rFont val="Times New Roman"/>
        <family val="1"/>
      </rPr>
      <t>, bilplatser per 1000 kvm BTA</t>
    </r>
  </si>
  <si>
    <r>
      <t>Bibliotek</t>
    </r>
    <r>
      <rPr>
        <sz val="11"/>
        <color theme="1"/>
        <rFont val="Times New Roman"/>
        <family val="1"/>
      </rPr>
      <t>, bilplatser per 1000 kvm BTA</t>
    </r>
  </si>
  <si>
    <r>
      <t>Lager,</t>
    </r>
    <r>
      <rPr>
        <sz val="11"/>
        <color theme="1"/>
        <rFont val="Times New Roman"/>
        <family val="1"/>
      </rPr>
      <t xml:space="preserve"> bilplatser per 1000 kvm BTA</t>
    </r>
  </si>
  <si>
    <r>
      <t>Lägenheter i flerbostadshus</t>
    </r>
    <r>
      <rPr>
        <sz val="11"/>
        <color theme="1"/>
        <rFont val="Times New Roman"/>
        <family val="1"/>
      </rPr>
      <t>, cykelplatser per 1000 kvm BTA inkl besök</t>
    </r>
  </si>
  <si>
    <r>
      <t>Lägenhet i flerbostadshus</t>
    </r>
    <r>
      <rPr>
        <sz val="11"/>
        <color theme="1"/>
        <rFont val="Times New Roman"/>
        <family val="1"/>
      </rPr>
      <t>, cykelplatser per genomsnittlig lägenhet exkl besök</t>
    </r>
  </si>
  <si>
    <t>Cykelplatser per lägenhet, 1 rum, exkl besök</t>
  </si>
  <si>
    <t>Cykelplatser per lägenhet, 2 rum, exkl besök</t>
  </si>
  <si>
    <t>Cykelplatser per lägenhet, 3 rum, exkl besök</t>
  </si>
  <si>
    <t>Cykelplatser per lägenhet, 4 rum, exkl besök</t>
  </si>
  <si>
    <r>
      <t>Lägenhet i flerbostadshus</t>
    </r>
    <r>
      <rPr>
        <sz val="11"/>
        <color theme="1"/>
        <rFont val="Times New Roman"/>
        <family val="1"/>
      </rPr>
      <t>, cykelplatser per genomsnittlig lägenhet inkl besök</t>
    </r>
  </si>
  <si>
    <t>Cykelplatser per lägenhet, 1 rum, inkl besök</t>
  </si>
  <si>
    <t>Cykelplatser per lägenhet, 2 rum, inkl besök</t>
  </si>
  <si>
    <t>Cykelplatser per lägenhet, 3 rum, inkl besök</t>
  </si>
  <si>
    <t>Cykelplatser per lägenhet, 4 rum, inkl besök</t>
  </si>
  <si>
    <r>
      <t>Studentbostäder</t>
    </r>
    <r>
      <rPr>
        <sz val="11"/>
        <color theme="1"/>
        <rFont val="Times New Roman"/>
        <family val="1"/>
      </rPr>
      <t>, cykelplatser per 1000 kvm BTA</t>
    </r>
  </si>
  <si>
    <r>
      <t>Kontor</t>
    </r>
    <r>
      <rPr>
        <sz val="11"/>
        <color theme="1"/>
        <rFont val="Times New Roman"/>
        <family val="1"/>
      </rPr>
      <t>, cykelplatser per 1000 kvm BTA, exkl besök</t>
    </r>
  </si>
  <si>
    <r>
      <t>Kontor</t>
    </r>
    <r>
      <rPr>
        <sz val="11"/>
        <color theme="1"/>
        <rFont val="Times New Roman"/>
        <family val="1"/>
      </rPr>
      <t xml:space="preserve">, cykelplatser per 1000 kvm BTA, inkl besök </t>
    </r>
  </si>
  <si>
    <r>
      <t>Industri och hantverk</t>
    </r>
    <r>
      <rPr>
        <sz val="11"/>
        <color theme="1"/>
        <rFont val="Times New Roman"/>
        <family val="1"/>
      </rPr>
      <t>, cykelplatser per 1000 kvm BTA, exkl besök</t>
    </r>
  </si>
  <si>
    <r>
      <t>Industri och hantverk</t>
    </r>
    <r>
      <rPr>
        <sz val="11"/>
        <color theme="1"/>
        <rFont val="Times New Roman"/>
        <family val="1"/>
      </rPr>
      <t>, cykelplatser per 1000 kvm BTA, inkl besök</t>
    </r>
  </si>
  <si>
    <r>
      <t>Sällanköpsbutiker</t>
    </r>
    <r>
      <rPr>
        <sz val="11"/>
        <color theme="1"/>
        <rFont val="Times New Roman"/>
        <family val="1"/>
      </rPr>
      <t>, bilplatser per 1000 kvm BTA, anställda + besökare</t>
    </r>
  </si>
  <si>
    <r>
      <t>Hotell</t>
    </r>
    <r>
      <rPr>
        <sz val="11"/>
        <color theme="1"/>
        <rFont val="Times New Roman"/>
        <family val="1"/>
      </rPr>
      <t>, cykelplatser per 1000 kvm BTA</t>
    </r>
  </si>
  <si>
    <r>
      <t>Restaurang</t>
    </r>
    <r>
      <rPr>
        <sz val="11"/>
        <color theme="1"/>
        <rFont val="Times New Roman"/>
        <family val="1"/>
      </rPr>
      <t>, cykelplatser per 1000 kvm BTA</t>
    </r>
  </si>
  <si>
    <r>
      <t>Restaurang</t>
    </r>
    <r>
      <rPr>
        <sz val="11"/>
        <color theme="1"/>
        <rFont val="Times New Roman"/>
        <family val="1"/>
      </rPr>
      <t>, cykelplatser per sittplats</t>
    </r>
  </si>
  <si>
    <r>
      <t>Bibliotek</t>
    </r>
    <r>
      <rPr>
        <sz val="11"/>
        <color theme="1"/>
        <rFont val="Times New Roman"/>
        <family val="1"/>
      </rPr>
      <t>, cykelplatser per 1000 kvm BTA</t>
    </r>
  </si>
  <si>
    <t>Antal kvadratmeter (BTA) bostäder:</t>
  </si>
  <si>
    <t>I vilken zon ligger området:</t>
  </si>
  <si>
    <t>kvadratmeter</t>
  </si>
  <si>
    <t>eller</t>
  </si>
  <si>
    <t>lägenheter</t>
  </si>
  <si>
    <t>Antal lägenheter oavsett storlek:</t>
  </si>
  <si>
    <t>Verksamheter:</t>
  </si>
  <si>
    <t>Antal lägenheter 1 rum och kök:</t>
  </si>
  <si>
    <t>Antal lägenheter 2 rum och kök:</t>
  </si>
  <si>
    <t>Antal lägenheter 3 rum och kök:</t>
  </si>
  <si>
    <t>Antal studentrum i korridor:</t>
  </si>
  <si>
    <t>Antal studentlägenheter:</t>
  </si>
  <si>
    <t>studentrum</t>
  </si>
  <si>
    <t>studentlägenheter</t>
  </si>
  <si>
    <t>Kontor, antal kvadratmeter BTA:</t>
  </si>
  <si>
    <t>Industri och hantverk, antal kvm BTA:</t>
  </si>
  <si>
    <t>Dagligvarubutik, antal kvm BTA:</t>
  </si>
  <si>
    <t>Sällanköpsbutik, antal kvm BTA:</t>
  </si>
  <si>
    <t>Förskola, antal kvm BTA:</t>
  </si>
  <si>
    <t>enheter</t>
  </si>
  <si>
    <t>Området ligger i zon</t>
  </si>
  <si>
    <t>För angivet antal lägenheter med 1 rum och kök:</t>
  </si>
  <si>
    <t>För angivet antal lägenheter med 2 rum och kök:</t>
  </si>
  <si>
    <t>För angivet antal lägenheter med 3 rum och kök:</t>
  </si>
  <si>
    <t>För angivet antal lägenheter med 4 rum och kök:</t>
  </si>
  <si>
    <t>Antal cykelparkeringsplatser för bostäder baserat på antalet lägenheter med känd fördelning:</t>
  </si>
  <si>
    <t>Cykelplatser för verksamheter:</t>
  </si>
  <si>
    <t>Antal småhus med bilparkering på tomten:</t>
  </si>
  <si>
    <t>Antal småhus/radhus med gemensam bilparkering:</t>
  </si>
  <si>
    <t>Antal cykelparkeringsplatser för studentbostäder:</t>
  </si>
  <si>
    <t>Antal cykelparkeringsplatser för småhus/radhus:</t>
  </si>
  <si>
    <t>cykelparkeringsplatser inkl platser för besökare</t>
  </si>
  <si>
    <t>cykelparkeringsplatser exkl platser för besökare</t>
  </si>
  <si>
    <t>cykelparkeringsplatser, anställda + besökare</t>
  </si>
  <si>
    <t>Grundskola, antal kvm BTA</t>
  </si>
  <si>
    <t>Gymnasieskola, antal kvm BTA:</t>
  </si>
  <si>
    <t>Kontor, antal cykelplatser inkl besökare:</t>
  </si>
  <si>
    <t>Kontor, antal cykelplatser exkl besökare:</t>
  </si>
  <si>
    <t>Industri och hantverk, antal cykelplatser inkl besökare:</t>
  </si>
  <si>
    <t>Industri och hantverk, antal cykelplatser exkl besökare:</t>
  </si>
  <si>
    <t>Dagligvarubutik, antal cykelplatser:</t>
  </si>
  <si>
    <t>Sällanköpsbutik, antal cykelplatser:</t>
  </si>
  <si>
    <t>Gymnasieskola, antal cykelplatser anställda:</t>
  </si>
  <si>
    <t>Gymnasieskola, antal cykelplatser elever:</t>
  </si>
  <si>
    <t>Grundskola, antal cykelplatser anställda:</t>
  </si>
  <si>
    <t>Grundskola, antal cykelplatser elever:</t>
  </si>
  <si>
    <t>Förskola, antal cykelplatser anställda:</t>
  </si>
  <si>
    <t>Förskola, antal cykelplatser barn/föräldrar:</t>
  </si>
  <si>
    <t>cykelparkeringsplatser, anställda</t>
  </si>
  <si>
    <t>cykelparkeringsplatser, elever</t>
  </si>
  <si>
    <t>cykelparkeringsplatser, barn+föräldrar</t>
  </si>
  <si>
    <t>Denna tabell är en underlagstabell som innehåller parkeringstalen för bil i Västerås. Den får inte ändras.</t>
  </si>
  <si>
    <t>Denna tabell är en underlagstabell som innehåller parkeringstalen för cykel i Västerås. Den får inte ändras.</t>
  </si>
  <si>
    <t>Orange fält = Får fyllas i och ändras</t>
  </si>
  <si>
    <t>Grått fält = Innehåller formler, får inte ändras</t>
  </si>
  <si>
    <t>Studentbostäder:</t>
  </si>
  <si>
    <t>Småhus/radhus:</t>
  </si>
  <si>
    <t>Antal bilparkeringsplatser för bostäder baserat på BTA:</t>
  </si>
  <si>
    <t>bilparkeringsplatser inkl platser för besökare</t>
  </si>
  <si>
    <t>bilparkeringsplatser exkl platser för besökare</t>
  </si>
  <si>
    <t>Antal bilparkeringsplatser för bostäder baserat på antalet lägenheter med känd fördelning:</t>
  </si>
  <si>
    <t>Kontor, antal bilplatser inkl besökare:</t>
  </si>
  <si>
    <t>Kontor, antal bilplatser exkl besökare:</t>
  </si>
  <si>
    <t>Industri och hantverk, antal bilplatser inkl besökare:</t>
  </si>
  <si>
    <t>Industri och hantverk, antal bilplatser exkl besökare:</t>
  </si>
  <si>
    <t>Grundskola, antal bilplatser anställda:</t>
  </si>
  <si>
    <t>Gymnasieskola, antal bilplatser anställda:</t>
  </si>
  <si>
    <t>Förskola, antal bilplatser anställda:</t>
  </si>
  <si>
    <t>Bilplatser för verksamheter:</t>
  </si>
  <si>
    <t>Antal cykelparkeringsplatser för bostäder baserat på antalet lägenheter oavsett storlek:</t>
  </si>
  <si>
    <t>Antal bilparkeringsplatser för bostäder baserat på antalet lägenheter oavsett storlek:</t>
  </si>
  <si>
    <t>Antal bilparkeringsplatser för studentbostäder baserat på BTA:</t>
  </si>
  <si>
    <t>Antal bilparkeringsplatser för studentbostäder baserat på antalet studentlägenheter:</t>
  </si>
  <si>
    <t>Antal bilparkeringsplatser för studentbostäder baserat på antalet studentrum i korridor:</t>
  </si>
  <si>
    <t>Antal bilparkeringsplatser för småhus/radhus med bilparkering på tomten:</t>
  </si>
  <si>
    <t>Antal bilparkeringsplatser för småhus/radhus med gemensam bilparkering:</t>
  </si>
  <si>
    <t>Dagligvarubutik, antal bilplatser anställda:</t>
  </si>
  <si>
    <t>Dagligvarubutik, antal bilplatser besökare:</t>
  </si>
  <si>
    <t>Sällanköpsbutik, antal bilplatser anställda:</t>
  </si>
  <si>
    <t>Sällanköpsbutik, antal bilplatser besökare:</t>
  </si>
  <si>
    <t>bilparkeringsplatser för anställda</t>
  </si>
  <si>
    <t>bilparkeringsplatser för besökare</t>
  </si>
  <si>
    <t>Ange förutsättningarna för exploateringen</t>
  </si>
  <si>
    <t>Cykelparkeringstal</t>
  </si>
  <si>
    <t>Grundtal för bilparkering</t>
  </si>
  <si>
    <t>Reduktion för bilpool</t>
  </si>
  <si>
    <t>dessutom tillkommer</t>
  </si>
  <si>
    <t>Antalet bilparkeringsplatser för bostäder reduceras till:</t>
  </si>
  <si>
    <t>Antalet bilparkeringsplatser för besökare:</t>
  </si>
  <si>
    <t>Antalet bilparkeringsplatser för bostäder baserat på antalet lägenheter reduceras till:</t>
  </si>
  <si>
    <t>Antal bilparkeringsplatser för bostäder baserat på antalet lägenheter med känd fördelning reduceras till:</t>
  </si>
  <si>
    <t>Kontor, antalet bilplatser för anställda reduceras till:</t>
  </si>
  <si>
    <t>Industri och hantverk, antalet bilplatser för anställda reduceras till:</t>
  </si>
  <si>
    <t>Dagligvarubutik, antal bilplatser för anställda reduceras till:</t>
  </si>
  <si>
    <t>Sällanköpsbutik, antal bilplatser för anställda reduceras till:</t>
  </si>
  <si>
    <t>Grundskola, antal bilplatser för anställda reduceras till:</t>
  </si>
  <si>
    <t>Gymnasieskola, antal bilplatser för anställda reduceras till:</t>
  </si>
  <si>
    <t>Förskola, antal bilplatser för anställda reduceras till:</t>
  </si>
  <si>
    <t>+</t>
  </si>
  <si>
    <t>varav</t>
  </si>
  <si>
    <t>dessutom</t>
  </si>
  <si>
    <t>Resultat efter reduktion för bilpool:</t>
  </si>
  <si>
    <t>Antal bilparkeringsplatser för småhus/radhus med gemensam bilparkering reduceras till:</t>
  </si>
  <si>
    <t>Bostäder i flerbostadshus:</t>
  </si>
  <si>
    <t>Antal cykelparkeringsplatser för bostäder i flerbostadshus baserat på BTA:</t>
  </si>
  <si>
    <t>Cykelplatser för bostäder i flerbostadshus:</t>
  </si>
  <si>
    <t>Cykelplatser för studentbostäder:</t>
  </si>
  <si>
    <t>Cykelplatser för småhus/radhus:</t>
  </si>
  <si>
    <t>Bilplatser för studentbostäder:</t>
  </si>
  <si>
    <t>Bilplatser för småhus/radhus:</t>
  </si>
  <si>
    <t>Bilplatser för bostäder i flerbostadshus:</t>
  </si>
  <si>
    <t>bilparkeringsplatser</t>
  </si>
  <si>
    <t>Totalt antal bilparkeringsplatser för verksamheter:</t>
  </si>
  <si>
    <t>platser</t>
  </si>
  <si>
    <t>platser för anställda</t>
  </si>
  <si>
    <t>dessutom tillkommer oreducerat</t>
  </si>
  <si>
    <t>platser för besökare (oreducerat)</t>
  </si>
  <si>
    <t>För det angivna antalet lägenheter med 1 rum och kök:</t>
  </si>
  <si>
    <t>För det angivna antalet lägenheter med 2 rum och kök:</t>
  </si>
  <si>
    <t>För det angivna antalet lägenheter med 3 rum och kök:</t>
  </si>
  <si>
    <t>För det angivna antalet lägenheter med 4 rum och kök:</t>
  </si>
  <si>
    <t>Antal insparade parkeringsplatser:</t>
  </si>
  <si>
    <t>Grundtalet gav</t>
  </si>
  <si>
    <t>parkeringsplatser sparats in</t>
  </si>
  <si>
    <t>parkeringsplatser för boende i flerbostadshus</t>
  </si>
  <si>
    <t>parkeringsplatser för boende småhus/radhus med gemensam parkering</t>
  </si>
  <si>
    <t>parkeringsplatser för anställda i verksamheter</t>
  </si>
  <si>
    <t>Beräkning av reduktion för bilplatser för bostäder:</t>
  </si>
  <si>
    <t>Beräkning av reduktion för bilplatser för verksamheter:</t>
  </si>
  <si>
    <t>bilparkeringsplatser för besökare (oreducerat)</t>
  </si>
  <si>
    <t>Reduktion för Mobility Management-åtgärder (MM)</t>
  </si>
  <si>
    <t>Vilken reduktion ska användas för bostäder?</t>
  </si>
  <si>
    <t>Vilken reduktion ska användas för verksamheter?</t>
  </si>
  <si>
    <t>Lokaltyp</t>
  </si>
  <si>
    <t>Bostäder</t>
  </si>
  <si>
    <t xml:space="preserve">Boendebesökare </t>
  </si>
  <si>
    <t>Industrier</t>
  </si>
  <si>
    <t>Kontor</t>
  </si>
  <si>
    <t>Butiker</t>
  </si>
  <si>
    <t>Skolor</t>
  </si>
  <si>
    <t>Hotell</t>
  </si>
  <si>
    <t>Restauranger</t>
  </si>
  <si>
    <t>Beräkning av samnyttjande</t>
  </si>
  <si>
    <t>Hotell, antal kvm BTA:</t>
  </si>
  <si>
    <t>Lunchbar, antal kvm BTA:</t>
  </si>
  <si>
    <t>Restaurang, antal kvm BTA:</t>
  </si>
  <si>
    <t>Hotell, antal cykelplatser:</t>
  </si>
  <si>
    <t>Lunchbar, antal cykelplatser:</t>
  </si>
  <si>
    <t>Restaurang, antal cykelplatser:</t>
  </si>
  <si>
    <t>Hotell, antal bilplatser inkl besökare:</t>
  </si>
  <si>
    <t>Lunchbar, antal bilplatser inkl besökare:</t>
  </si>
  <si>
    <t>Restaurang, antal bilplatser inkl besökare:</t>
  </si>
  <si>
    <t>Hotell, antal bilplatser (oreducerat)</t>
  </si>
  <si>
    <t>Lunchbar, antal bilplatser (oreducerat)</t>
  </si>
  <si>
    <t>Restaurang, antal bilplatser (oreducerat)</t>
  </si>
  <si>
    <t>Summa</t>
  </si>
  <si>
    <t>parkeringsplatser</t>
  </si>
  <si>
    <t>Underlagstabell för samnyttjande</t>
  </si>
  <si>
    <t>Parkeringsbehovet vid samnyttjande av samtliga parkeringsplatser uppgår till</t>
  </si>
  <si>
    <t>(Så här stor andel av platserna är typiskt sett upptagna under de olika tidsintervallen)</t>
  </si>
  <si>
    <t>Reduktion för samnyttjande, ALLA platser ordnas på egen fastighet och kan därmed samnyttjas</t>
  </si>
  <si>
    <t>bilplatser</t>
  </si>
  <si>
    <t>Bostäder i småhus/radhus med gemensam parkering:</t>
  </si>
  <si>
    <t>Bostäder i småhus/radhus med parkering på tomten:</t>
  </si>
  <si>
    <t>platser för småhus/radhus med parkering på tomten</t>
  </si>
  <si>
    <t xml:space="preserve">Totalt har </t>
  </si>
  <si>
    <t>Därtill kommer platser som inte kan samnyttjas:</t>
  </si>
  <si>
    <t>Genom samnyttjande av samtliga platser kan</t>
  </si>
  <si>
    <t>Totalt antal cykelparkeringsplatser:</t>
  </si>
  <si>
    <t>Vilken reduktion ska användas för bostäder (ange procentsats)?</t>
  </si>
  <si>
    <t>Antal lägenheter 4 rum och kök eller mer:</t>
  </si>
  <si>
    <t>(Med lunchbar jämställs café)</t>
  </si>
  <si>
    <t>I och med bilpoolsreduktionen har totalt:</t>
  </si>
  <si>
    <t>bilparkeringsplatser för verksamheter</t>
  </si>
  <si>
    <t>bilparkeringsplatser för bostäder</t>
  </si>
  <si>
    <t>att användas</t>
  </si>
  <si>
    <t>Resultat efter reduktion för MM-åtgärder:</t>
  </si>
  <si>
    <t>bilplatser sparas in</t>
  </si>
  <si>
    <t>För den här exploateringen behövs</t>
  </si>
  <si>
    <t>Resultat av parkeringsberäkningar</t>
  </si>
  <si>
    <t>Parkeringsefterfrågan för cykel</t>
  </si>
  <si>
    <t>Parkeringsefterfrågan för bil - grundtal</t>
  </si>
  <si>
    <t>Parkeringsefterfrågan för bil - med reduktion för bilpool</t>
  </si>
  <si>
    <t>Parkeringsefterfrågan för bil - med reduktion för Mobility Management-åtgärder</t>
  </si>
  <si>
    <t>bilparkeringsplatser vid fullt samnyttjande av samtliga platser</t>
  </si>
  <si>
    <t>bilparkeringsplatser ingår i de platser som tillåts reduceras</t>
  </si>
  <si>
    <t>Antal kvadratmeter (BTA) studentbostäder*:</t>
  </si>
  <si>
    <t>*Ytan för studentbostäder måste anges för att få fram behovet av cykelparkeringar, det räcker inte med antalet rum.</t>
  </si>
  <si>
    <t>Förutom dessa ska</t>
  </si>
  <si>
    <t>I och med bilpoolsreduktionen ska ytterligare</t>
  </si>
  <si>
    <t>parkeringsplatser för bilpoolsbilar läggas till beräknat antal parkeringsplatser</t>
  </si>
  <si>
    <t>platser som reserveras för bilpoolsbilar (summan hämtas från fliken för bilpoolsreduktion, reduceras ej ytterligare)</t>
  </si>
  <si>
    <t>ytterligare platser som reserveras för bilpoolsbilar</t>
  </si>
  <si>
    <t xml:space="preserve">Utöver dessa tillkommer </t>
  </si>
  <si>
    <t>parkeringsplatser för bilpool</t>
  </si>
  <si>
    <r>
      <t>Parkeringsefterfrågan</t>
    </r>
    <r>
      <rPr>
        <i/>
        <sz val="11"/>
        <color theme="1"/>
        <rFont val="Calibri"/>
        <family val="2"/>
        <scheme val="minor"/>
      </rPr>
      <t xml:space="preserve"> inklusive</t>
    </r>
    <r>
      <rPr>
        <sz val="11"/>
        <color theme="1"/>
        <rFont val="Calibri"/>
        <family val="2"/>
        <scheme val="minor"/>
      </rPr>
      <t xml:space="preserve"> besöksparkering och utan reduktioner uppgår till:</t>
    </r>
  </si>
  <si>
    <r>
      <t xml:space="preserve">Parkeringsefterfrågan </t>
    </r>
    <r>
      <rPr>
        <i/>
        <sz val="11"/>
        <color theme="1"/>
        <rFont val="Calibri"/>
        <family val="2"/>
        <scheme val="minor"/>
      </rPr>
      <t>exklusive</t>
    </r>
    <r>
      <rPr>
        <sz val="11"/>
        <color theme="1"/>
        <rFont val="Calibri"/>
        <family val="2"/>
        <scheme val="minor"/>
      </rPr>
      <t xml:space="preserve"> besöksparkering och utan reduktioner uppgår till:</t>
    </r>
  </si>
  <si>
    <t>Totalt antal parkeringsplatser för bil som kan reduceras för bilpool:</t>
  </si>
  <si>
    <t>bilparkeringsplatser reserveras i en bilpool med attraktivt läge.</t>
  </si>
  <si>
    <t>bilparkeringsplatser är kvar efter reduktion och exkl besöksparkering</t>
  </si>
  <si>
    <t>parkeringsplatser sparats in i detta steg</t>
  </si>
  <si>
    <t>parkeringsplatser sparats in genom MM-åtgärder</t>
  </si>
  <si>
    <t>För den här exploateringen behöver</t>
  </si>
  <si>
    <t>bilparkeringsplatser reserveras i en bilpool med attraktivt läge. Dessa platser kan inte samnyttjas.</t>
  </si>
  <si>
    <r>
      <rPr>
        <b/>
        <sz val="11"/>
        <color theme="1"/>
        <rFont val="Times New Roman"/>
        <family val="1"/>
      </rPr>
      <t>Dagligvarubutiker</t>
    </r>
    <r>
      <rPr>
        <sz val="11"/>
        <color theme="1"/>
        <rFont val="Times New Roman"/>
        <family val="1"/>
      </rPr>
      <t>, bilplatser per 1000 kvm BTA, anställda*</t>
    </r>
  </si>
  <si>
    <r>
      <t>Dagligvarubutiker</t>
    </r>
    <r>
      <rPr>
        <sz val="11"/>
        <color theme="1"/>
        <rFont val="Times New Roman"/>
        <family val="1"/>
      </rPr>
      <t>, bilplatser per 1000 kvm BTA, besökare*</t>
    </r>
  </si>
  <si>
    <r>
      <t>Sällanköpsbutiker</t>
    </r>
    <r>
      <rPr>
        <sz val="11"/>
        <color theme="1"/>
        <rFont val="Times New Roman"/>
        <family val="1"/>
      </rPr>
      <t>, bilplatser per 1000 kvm BTA, anställda*</t>
    </r>
  </si>
  <si>
    <r>
      <rPr>
        <b/>
        <sz val="11"/>
        <color theme="1"/>
        <rFont val="Times New Roman"/>
        <family val="1"/>
      </rPr>
      <t>Sällanköpsbutiker</t>
    </r>
    <r>
      <rPr>
        <sz val="11"/>
        <color theme="1"/>
        <rFont val="Times New Roman"/>
        <family val="1"/>
      </rPr>
      <t>, bilplatser per 1000 kvm BTA, besökare*</t>
    </r>
  </si>
  <si>
    <r>
      <t>Grundskola</t>
    </r>
    <r>
      <rPr>
        <sz val="11"/>
        <color theme="1"/>
        <rFont val="Times New Roman"/>
        <family val="1"/>
      </rPr>
      <t>, cykelplatser per 1000 kvm BTA, anställda*</t>
    </r>
  </si>
  <si>
    <r>
      <t>Grundskola</t>
    </r>
    <r>
      <rPr>
        <sz val="11"/>
        <color theme="1"/>
        <rFont val="Times New Roman"/>
        <family val="1"/>
      </rPr>
      <t>, cykelplatser per 1000 kvm BTA, elever*</t>
    </r>
  </si>
  <si>
    <r>
      <t>Gymnasieskola</t>
    </r>
    <r>
      <rPr>
        <sz val="11"/>
        <color theme="1"/>
        <rFont val="Times New Roman"/>
        <family val="1"/>
      </rPr>
      <t>, cykelplatser per 1000 kvm BTA, anställda*</t>
    </r>
  </si>
  <si>
    <r>
      <t>Gymnasieskola</t>
    </r>
    <r>
      <rPr>
        <sz val="11"/>
        <color theme="1"/>
        <rFont val="Times New Roman"/>
        <family val="1"/>
      </rPr>
      <t>, cykelplatser per 1000 kvm BTA, elever*</t>
    </r>
  </si>
  <si>
    <r>
      <t>Förskola</t>
    </r>
    <r>
      <rPr>
        <sz val="11"/>
        <color theme="1"/>
        <rFont val="Times New Roman"/>
        <family val="1"/>
      </rPr>
      <t>, cykelplatser per 1000 kvm BTA, anställda*</t>
    </r>
  </si>
  <si>
    <r>
      <t>Förskola</t>
    </r>
    <r>
      <rPr>
        <sz val="11"/>
        <color theme="1"/>
        <rFont val="Times New Roman"/>
        <family val="1"/>
      </rPr>
      <t>, cykelplatser per 1000 kvm BTA, barn/föräldrar*</t>
    </r>
  </si>
  <si>
    <t>I fortsättningen kommer beräkningssätt nr</t>
  </si>
  <si>
    <t xml:space="preserve"> Det tillkommer</t>
  </si>
  <si>
    <t>(Max 10 % rekommenderas i riktlinjerna)</t>
  </si>
  <si>
    <t>Anges ej i riktlinjerna</t>
  </si>
  <si>
    <t>*Raden skiljer sig mot motsvarande rad i Bilaga 1 i riktlinjerna. I riktlinjerna är anställda och besökare sammanställda på samma rad. I denna beräkning är de skilda åt i rader efter varandra.</t>
  </si>
  <si>
    <t>*Raden skiljer sig mot motsvarande rad i Bilaga 2 i riktlinjerna. I riktlinjerna är anställda och besökare sammanställda på samma rad. I denna beräkning är de skilda åt i rader efter varandra.</t>
  </si>
  <si>
    <t>I den här fliken visas resultaten av beräkningarna. För detaljerad information, se respektive beräkningsflik.</t>
  </si>
  <si>
    <t>Om reduktioner för bilpool och MM ska tillämpas är det viktigt att kontrollera procentsatserna för reduktion (orange rutor under resp flik) så att de är rätt.</t>
  </si>
  <si>
    <t>cykelparkeringsplatser. Se detaljerad info under fliken "Cykel".</t>
  </si>
  <si>
    <t>bilparkeringsplatser för bostäder inkl besöksparkering.</t>
  </si>
  <si>
    <t>bilparkeringsplatser för verksamheter inkl besöksparkering.</t>
  </si>
  <si>
    <t>Summa antal bilparkeringsplatser för både bostäder och verksamheter.</t>
  </si>
  <si>
    <t>bilparkeringsplatser för bostäder inkl besöksparkering efter reduktion för bilpool.</t>
  </si>
  <si>
    <t>bilparkeringsplatser för verksamheter inkl besöksparkering efter reduktion för bilpool.</t>
  </si>
  <si>
    <t>parkeringsplatser sparats in, inkl avsättning till bilpool.</t>
  </si>
  <si>
    <t>bilparkeringsplatser för bostäder inkl besöksparkering efter reduktion för bilpool och MM-åtgärder.</t>
  </si>
  <si>
    <t>bilparkeringsplatser för verksamheter inkl besöksparkering efter reduktion för bilpool och MM-åtgärder.</t>
  </si>
  <si>
    <t>Jämfört med grundtalet har totalt</t>
  </si>
  <si>
    <t>Grönt fält = Innehåller resultatberäkning, får inte ändras</t>
  </si>
  <si>
    <t>Grönt/grått fält = Innehåller resultatberäkning, får inte ändras</t>
  </si>
  <si>
    <t>bilparkeringsplatser (ger ingen reduktion för bilpool)</t>
  </si>
  <si>
    <t>bilparkeringsplatser (ger ingen reduktion för MM-åtgärder)</t>
  </si>
  <si>
    <t>platser för besökare (ger ingen reduktion för MM-åtgärder)</t>
  </si>
  <si>
    <t>Totalt antal parkeringsplatser för bil efter reduktion för MM-åtgärder:</t>
  </si>
  <si>
    <t>(max 20% rekommenderas i riktlinjerna)</t>
  </si>
  <si>
    <t>bilparkeringsplatser som är underlag för reduktion för bilpool och MM</t>
  </si>
  <si>
    <t>Med reduktion för bilpool har</t>
  </si>
  <si>
    <t>Med reduktion för MM-åtgärder för boende har</t>
  </si>
  <si>
    <t>Med reduktion för bilpool och MM-åtgärder har totalt</t>
  </si>
  <si>
    <t>Med reduktion för MM-åtgärder för verksamma har</t>
  </si>
  <si>
    <t>parkeringsplatser sparats in genom bilpool och MM-åtgärder</t>
  </si>
  <si>
    <t>Totalt antal parkeringsplatser är:</t>
  </si>
  <si>
    <t>Andel bilplatser avsatta för rörelsehindrade:</t>
  </si>
  <si>
    <t>st bilparkeringsplatser avsättas för personer med rörelsenedsättning. Dessa ingår i de totala antalet parkeringsplatser ovan.</t>
  </si>
  <si>
    <t>Det totala antalet parkeringsplatser för bil efter Kopparlundsreduktionen:</t>
  </si>
  <si>
    <t>Parkeringsefterfrågan för bil - med Kopparlundsreduktion för samnyttjande av samtliga bilparkeringsplatser</t>
  </si>
  <si>
    <t xml:space="preserve">Dimensionerande parkeringsefterfrågan </t>
  </si>
  <si>
    <t>Samnyttjandekvot (förväntad beläggningsgrad)</t>
  </si>
  <si>
    <t>I den här fliken visas resultaten av beräkningarna.</t>
  </si>
  <si>
    <t>(utnyttjandegraden för bostäder har sänkts jämfört med parkeringsriktlinjerna, där den är 90%)</t>
  </si>
  <si>
    <t>(utnyttjandegraden för kontor har sänkts jämfört med parkeringsriktlinjerna, där den är 70%)</t>
  </si>
  <si>
    <t>(minst 5 %)</t>
  </si>
  <si>
    <t>Beräkning av parkeringstal för bostäder och verksamheter i Kopparlunden (zon 2B)</t>
  </si>
  <si>
    <t>Antal lägenheter med känd fördelning</t>
  </si>
  <si>
    <t xml:space="preserve">Grundtalet för den här exploateringen är </t>
  </si>
  <si>
    <t>För den här exploateringen behövs totalt</t>
  </si>
  <si>
    <t>Jämfört med grundtalet har</t>
  </si>
  <si>
    <t>parkeringsplatser sparats in.</t>
  </si>
  <si>
    <t>bilparkeringsplatser (före reduktion).</t>
  </si>
  <si>
    <t>bilparkeringsplatser avsättas för personer med rörelsenedsättning.</t>
  </si>
  <si>
    <t>Parkeringsefterfrågan för bil</t>
  </si>
  <si>
    <t>Av det totala behovet ska</t>
  </si>
  <si>
    <r>
      <t xml:space="preserve">cykelparkeringsplatser. </t>
    </r>
    <r>
      <rPr>
        <sz val="11"/>
        <color theme="1"/>
        <rFont val="Calibri"/>
        <family val="2"/>
        <scheme val="minor"/>
      </rPr>
      <t>Se detaljerad info under fliken "Cykel".</t>
    </r>
  </si>
  <si>
    <r>
      <t>bilparkeringsplatser</t>
    </r>
    <r>
      <rPr>
        <sz val="11"/>
        <color theme="1"/>
        <rFont val="Calibri"/>
        <family val="2"/>
        <scheme val="minor"/>
      </rPr>
      <t xml:space="preserve"> (efter reduktion för bilpool, MM och Kopparlundsreduktion för samnyttjande av samtliga bilparkeringsplatser).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</si>
</sst>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8" x14ac:knownFonts="1">
    <font>
      <sz val="11"/>
      <color theme="1"/>
      <name val="Calibri"/>
      <family val="2"/>
      <scheme val="minor"/>
    </font>
    <font>
      <sz val="11"/>
      <color rgb="FF3F3F76"/>
      <name val="Calibri"/>
      <family val="2"/>
      <scheme val="minor"/>
    </font>
    <font>
      <b/>
      <sz val="11"/>
      <color rgb="FF3F3F3F"/>
      <name val="Calibri"/>
      <family val="2"/>
      <scheme val="minor"/>
    </font>
    <font>
      <sz val="11"/>
      <color theme="1"/>
      <name val="Times New Roman"/>
      <family val="1"/>
    </font>
    <font>
      <b/>
      <sz val="11"/>
      <color theme="1"/>
      <name val="Times New Roman"/>
      <family val="1"/>
    </font>
    <font>
      <b/>
      <sz val="14"/>
      <color rgb="FFFFFFFF"/>
      <name val="Times New Roman"/>
      <family val="1"/>
    </font>
    <font>
      <i/>
      <sz val="10"/>
      <color theme="1"/>
      <name val="Times New Roman"/>
      <family val="1"/>
    </font>
    <font>
      <sz val="18"/>
      <color theme="1"/>
      <name val="Cambria"/>
      <family val="1"/>
      <scheme val="major"/>
    </font>
    <font>
      <b/>
      <sz val="14"/>
      <color theme="1"/>
      <name val="Cambria"/>
      <family val="1"/>
      <scheme val="major"/>
    </font>
    <font>
      <i/>
      <sz val="11"/>
      <color theme="1"/>
      <name val="Calibri"/>
      <family val="2"/>
      <scheme val="minor"/>
    </font>
    <font>
      <i/>
      <sz val="11"/>
      <color rgb="FF3F3F3F"/>
      <name val="Calibri"/>
      <family val="2"/>
      <scheme val="minor"/>
    </font>
    <font>
      <b/>
      <sz val="12"/>
      <color rgb="FFFF0000"/>
      <name val="Calibri"/>
      <family val="2"/>
      <scheme val="minor"/>
    </font>
    <font>
      <b/>
      <sz val="11"/>
      <color theme="1"/>
      <name val="Calibri"/>
      <family val="2"/>
      <scheme val="minor"/>
    </font>
    <font>
      <sz val="11"/>
      <color theme="1"/>
      <name val="Calibri"/>
      <family val="2"/>
      <scheme val="minor"/>
    </font>
    <font>
      <b/>
      <sz val="16"/>
      <color theme="1"/>
      <name val="Cambria"/>
      <family val="1"/>
      <scheme val="major"/>
    </font>
    <font>
      <sz val="11"/>
      <color rgb="FF000000"/>
      <name val="Calibri"/>
      <family val="2"/>
      <scheme val="minor"/>
    </font>
    <font>
      <sz val="8"/>
      <color theme="1"/>
      <name val="Calibri"/>
      <family val="2"/>
      <scheme val="minor"/>
    </font>
    <font>
      <b/>
      <i/>
      <sz val="11"/>
      <color theme="1"/>
      <name val="Calibri"/>
      <family val="2"/>
      <scheme val="minor"/>
    </font>
  </fonts>
  <fills count="6">
    <fill>
      <patternFill patternType="none"/>
    </fill>
    <fill>
      <patternFill patternType="gray125"/>
    </fill>
    <fill>
      <patternFill patternType="solid">
        <fgColor rgb="FFFFCC99"/>
      </patternFill>
    </fill>
    <fill>
      <patternFill patternType="solid">
        <fgColor rgb="FFF2F2F2"/>
      </patternFill>
    </fill>
    <fill>
      <patternFill patternType="solid">
        <fgColor rgb="FF4F81BD"/>
        <bgColor indexed="64"/>
      </patternFill>
    </fill>
    <fill>
      <patternFill patternType="solid">
        <fgColor rgb="FFFFFF00"/>
        <bgColor indexed="64"/>
      </patternFill>
    </fill>
  </fills>
  <borders count="11">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medium">
        <color rgb="FF4F81BD"/>
      </left>
      <right/>
      <top style="medium">
        <color rgb="FF4F81BD"/>
      </top>
      <bottom/>
      <diagonal/>
    </border>
    <border>
      <left/>
      <right/>
      <top style="medium">
        <color rgb="FF4F81BD"/>
      </top>
      <bottom/>
      <diagonal/>
    </border>
    <border>
      <left/>
      <right style="medium">
        <color rgb="FF4F81BD"/>
      </right>
      <top style="medium">
        <color rgb="FF4F81BD"/>
      </top>
      <bottom/>
      <diagonal/>
    </border>
    <border>
      <left style="medium">
        <color rgb="FF4F81BD"/>
      </left>
      <right/>
      <top style="medium">
        <color rgb="FF4F81BD"/>
      </top>
      <bottom style="medium">
        <color rgb="FF4F81BD"/>
      </bottom>
      <diagonal/>
    </border>
    <border>
      <left/>
      <right/>
      <top style="medium">
        <color rgb="FF4F81BD"/>
      </top>
      <bottom style="medium">
        <color rgb="FF4F81BD"/>
      </bottom>
      <diagonal/>
    </border>
    <border>
      <left/>
      <right style="medium">
        <color rgb="FF4F81BD"/>
      </right>
      <top style="medium">
        <color rgb="FF4F81BD"/>
      </top>
      <bottom style="medium">
        <color rgb="FF4F81BD"/>
      </bottom>
      <diagonal/>
    </border>
    <border>
      <left style="medium">
        <color rgb="FF4F81BD"/>
      </left>
      <right/>
      <top/>
      <bottom/>
      <diagonal/>
    </border>
    <border>
      <left/>
      <right style="medium">
        <color rgb="FF4F81BD"/>
      </right>
      <top/>
      <bottom/>
      <diagonal/>
    </border>
  </borders>
  <cellStyleXfs count="8">
    <xf numFmtId="0" fontId="0" fillId="0" borderId="0"/>
    <xf numFmtId="0" fontId="1" fillId="2" borderId="1" applyNumberFormat="0" applyAlignment="0" applyProtection="0"/>
    <xf numFmtId="0" fontId="2" fillId="3" borderId="2" applyNumberFormat="0" applyAlignment="0" applyProtection="0"/>
    <xf numFmtId="9" fontId="13" fillId="0" borderId="0" applyFont="0" applyFill="0" applyBorder="0" applyAlignment="0" applyProtection="0"/>
    <xf numFmtId="0" fontId="1" fillId="2" borderId="1" applyProtection="0"/>
    <xf numFmtId="0" fontId="1" fillId="2" borderId="1" applyProtection="0"/>
    <xf numFmtId="0" fontId="1" fillId="2" borderId="1" applyProtection="0"/>
    <xf numFmtId="0" fontId="1" fillId="2" borderId="1" applyFont="0" applyFill="0" applyBorder="0" applyProtection="0"/>
  </cellStyleXfs>
  <cellXfs count="61">
    <xf numFmtId="0" fontId="0" fillId="0" borderId="0" xfId="0"/>
    <xf numFmtId="0" fontId="5" fillId="4" borderId="3" xfId="0" applyFont="1" applyFill="1" applyBorder="1" applyAlignment="1">
      <alignment vertical="center" wrapText="1"/>
    </xf>
    <xf numFmtId="0" fontId="5" fillId="4" borderId="4" xfId="0" applyFont="1" applyFill="1" applyBorder="1" applyAlignment="1">
      <alignment vertical="center" wrapText="1"/>
    </xf>
    <xf numFmtId="0" fontId="5" fillId="4" borderId="5" xfId="0" applyFont="1" applyFill="1" applyBorder="1" applyAlignment="1">
      <alignment vertical="center" wrapText="1"/>
    </xf>
    <xf numFmtId="0" fontId="4" fillId="0" borderId="6" xfId="0" applyFont="1" applyBorder="1" applyAlignment="1">
      <alignment vertical="center" wrapText="1"/>
    </xf>
    <xf numFmtId="0" fontId="3" fillId="0" borderId="7" xfId="0" applyFont="1" applyBorder="1" applyAlignment="1">
      <alignment vertical="center" wrapText="1"/>
    </xf>
    <xf numFmtId="0" fontId="3" fillId="0" borderId="8" xfId="0" applyFont="1" applyBorder="1" applyAlignment="1">
      <alignment vertical="center" wrapText="1"/>
    </xf>
    <xf numFmtId="0" fontId="4" fillId="0" borderId="9" xfId="0" applyFont="1" applyBorder="1" applyAlignment="1">
      <alignment vertical="center" wrapText="1"/>
    </xf>
    <xf numFmtId="0" fontId="3" fillId="0" borderId="0" xfId="0" applyFont="1" applyAlignment="1">
      <alignment vertical="center" wrapText="1"/>
    </xf>
    <xf numFmtId="0" fontId="3" fillId="0" borderId="10" xfId="0" applyFont="1" applyBorder="1" applyAlignment="1">
      <alignment vertical="center" wrapText="1"/>
    </xf>
    <xf numFmtId="0" fontId="6" fillId="0" borderId="9" xfId="0" applyFont="1" applyBorder="1" applyAlignment="1">
      <alignment vertical="center" wrapText="1"/>
    </xf>
    <xf numFmtId="0" fontId="6" fillId="0" borderId="0" xfId="0" applyFont="1" applyAlignment="1">
      <alignment vertical="center" wrapText="1"/>
    </xf>
    <xf numFmtId="0" fontId="6" fillId="0" borderId="10" xfId="0" applyFont="1" applyBorder="1" applyAlignment="1">
      <alignment vertical="center" wrapText="1"/>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7" fillId="0" borderId="0" xfId="0" applyFont="1"/>
    <xf numFmtId="0" fontId="8" fillId="0" borderId="0" xfId="0" applyFont="1"/>
    <xf numFmtId="0" fontId="1" fillId="2" borderId="1" xfId="1"/>
    <xf numFmtId="0" fontId="9" fillId="0" borderId="0" xfId="0" applyFont="1"/>
    <xf numFmtId="0" fontId="2" fillId="3" borderId="2" xfId="2"/>
    <xf numFmtId="0" fontId="0" fillId="0" borderId="0" xfId="0" applyAlignment="1">
      <alignment wrapText="1"/>
    </xf>
    <xf numFmtId="0" fontId="10" fillId="3" borderId="2" xfId="2" applyFont="1"/>
    <xf numFmtId="0" fontId="11" fillId="0" borderId="0" xfId="0" applyFont="1"/>
    <xf numFmtId="0" fontId="12" fillId="0" borderId="0" xfId="0" applyFont="1" applyAlignment="1">
      <alignment horizontal="right"/>
    </xf>
    <xf numFmtId="0" fontId="14" fillId="0" borderId="0" xfId="0" applyFont="1"/>
    <xf numFmtId="0" fontId="12" fillId="0" borderId="0" xfId="0" applyFont="1"/>
    <xf numFmtId="0" fontId="2" fillId="3" borderId="2" xfId="2" applyNumberFormat="1"/>
    <xf numFmtId="0" fontId="12" fillId="0" borderId="0" xfId="0" applyNumberFormat="1" applyFont="1" applyAlignment="1">
      <alignment wrapText="1"/>
    </xf>
    <xf numFmtId="164" fontId="0" fillId="0" borderId="0" xfId="0" applyNumberFormat="1"/>
    <xf numFmtId="1" fontId="2" fillId="3" borderId="2" xfId="2" applyNumberFormat="1"/>
    <xf numFmtId="0" fontId="0" fillId="0" borderId="0" xfId="0" applyFont="1"/>
    <xf numFmtId="0" fontId="0" fillId="0" borderId="0" xfId="0" applyFill="1"/>
    <xf numFmtId="164" fontId="12" fillId="0" borderId="0" xfId="0" applyNumberFormat="1" applyFont="1"/>
    <xf numFmtId="9" fontId="0" fillId="0" borderId="0" xfId="3" applyFont="1"/>
    <xf numFmtId="0" fontId="12" fillId="0" borderId="0" xfId="0" applyFont="1" applyFill="1"/>
    <xf numFmtId="0" fontId="0" fillId="0" borderId="0" xfId="0" applyFont="1" applyFill="1" applyBorder="1"/>
    <xf numFmtId="0" fontId="0" fillId="0" borderId="0" xfId="0" applyBorder="1"/>
    <xf numFmtId="0" fontId="0" fillId="0" borderId="0" xfId="0" applyFill="1" applyBorder="1"/>
    <xf numFmtId="0" fontId="3" fillId="0" borderId="9" xfId="0" applyFont="1" applyFill="1" applyBorder="1" applyAlignment="1">
      <alignment vertical="center" wrapText="1"/>
    </xf>
    <xf numFmtId="0" fontId="1" fillId="2" borderId="1" xfId="1" applyProtection="1">
      <protection locked="0"/>
    </xf>
    <xf numFmtId="9" fontId="1" fillId="2" borderId="1" xfId="3" applyFont="1" applyFill="1" applyBorder="1" applyProtection="1">
      <protection locked="0"/>
    </xf>
    <xf numFmtId="0" fontId="0" fillId="0" borderId="0" xfId="0" applyProtection="1">
      <protection locked="0"/>
    </xf>
    <xf numFmtId="0" fontId="0" fillId="0" borderId="0" xfId="0" applyProtection="1"/>
    <xf numFmtId="0" fontId="7" fillId="0" borderId="0" xfId="0" applyFont="1" applyProtection="1"/>
    <xf numFmtId="0" fontId="1" fillId="2" borderId="1" xfId="1" applyProtection="1"/>
    <xf numFmtId="0" fontId="2" fillId="3" borderId="2" xfId="2" applyProtection="1"/>
    <xf numFmtId="0" fontId="8" fillId="0" borderId="0" xfId="0" applyFont="1" applyProtection="1"/>
    <xf numFmtId="0" fontId="15" fillId="0" borderId="0" xfId="0" applyFont="1" applyProtection="1"/>
    <xf numFmtId="9" fontId="1" fillId="2" borderId="1" xfId="1" applyNumberFormat="1" applyProtection="1">
      <protection locked="0"/>
    </xf>
    <xf numFmtId="0" fontId="0" fillId="0" borderId="0" xfId="0" applyProtection="1">
      <protection hidden="1"/>
    </xf>
    <xf numFmtId="0" fontId="2" fillId="3" borderId="2" xfId="2" applyProtection="1">
      <protection hidden="1"/>
    </xf>
    <xf numFmtId="0" fontId="0" fillId="0" borderId="0" xfId="0" applyFill="1" applyBorder="1" applyProtection="1"/>
    <xf numFmtId="1" fontId="2" fillId="3" borderId="2" xfId="2" applyNumberFormat="1" applyProtection="1">
      <protection locked="0"/>
    </xf>
    <xf numFmtId="0" fontId="12" fillId="0" borderId="0" xfId="0" applyNumberFormat="1" applyFont="1" applyAlignment="1"/>
    <xf numFmtId="1" fontId="2" fillId="3" borderId="2" xfId="2" applyNumberFormat="1" applyFont="1"/>
    <xf numFmtId="9" fontId="0" fillId="0" borderId="0" xfId="3" applyFont="1" applyFill="1"/>
    <xf numFmtId="165" fontId="0" fillId="5" borderId="0" xfId="3" applyNumberFormat="1" applyFont="1" applyFill="1"/>
    <xf numFmtId="9" fontId="16" fillId="0" borderId="0" xfId="3" applyFont="1" applyFill="1"/>
    <xf numFmtId="0" fontId="17" fillId="0" borderId="0" xfId="0" applyFont="1" applyProtection="1"/>
    <xf numFmtId="0" fontId="0" fillId="0" borderId="0" xfId="0" applyFont="1" applyProtection="1"/>
  </cellXfs>
  <cellStyles count="8">
    <cellStyle name="Format 1" xfId="4" xr:uid="{00000000-0005-0000-0000-000000000000}"/>
    <cellStyle name="Format 2" xfId="5" xr:uid="{00000000-0005-0000-0000-000001000000}"/>
    <cellStyle name="Format 3" xfId="6" xr:uid="{00000000-0005-0000-0000-000002000000}"/>
    <cellStyle name="Format 4" xfId="7" xr:uid="{00000000-0005-0000-0000-000003000000}"/>
    <cellStyle name="Indata" xfId="1" builtinId="20"/>
    <cellStyle name="Normal" xfId="0" builtinId="0"/>
    <cellStyle name="Procent" xfId="3" builtinId="5"/>
    <cellStyle name="Utdata" xfId="2" builtinId="21"/>
  </cellStyles>
  <dxfs count="151">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s>
  <tableStyles count="0" defaultTableStyle="TableStyleMedium2" defaultPivotStyle="PivotStyleLight16"/>
  <colors>
    <mruColors>
      <color rgb="FF003260"/>
      <color rgb="FF002D60"/>
      <color rgb="FF002860"/>
      <color rgb="FF003C60"/>
      <color rgb="FF33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wmf"/></Relationships>
</file>

<file path=xl/drawings/_rels/drawing11.xml.rels><?xml version="1.0" encoding="UTF-8" standalone="yes"?>
<Relationships xmlns="http://schemas.openxmlformats.org/package/2006/relationships"><Relationship Id="rId1" Type="http://schemas.openxmlformats.org/officeDocument/2006/relationships/image" Target="../media/image2.wmf"/></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wmf"/></Relationships>
</file>

<file path=xl/drawings/_rels/drawing3.xml.rels><?xml version="1.0" encoding="UTF-8" standalone="yes"?>
<Relationships xmlns="http://schemas.openxmlformats.org/package/2006/relationships"><Relationship Id="rId1" Type="http://schemas.openxmlformats.org/officeDocument/2006/relationships/image" Target="../media/image2.wmf"/></Relationships>
</file>

<file path=xl/drawings/_rels/drawing4.xml.rels><?xml version="1.0" encoding="UTF-8" standalone="yes"?>
<Relationships xmlns="http://schemas.openxmlformats.org/package/2006/relationships"><Relationship Id="rId1" Type="http://schemas.openxmlformats.org/officeDocument/2006/relationships/image" Target="../media/image2.wmf"/></Relationships>
</file>

<file path=xl/drawings/_rels/drawing5.xml.rels><?xml version="1.0" encoding="UTF-8" standalone="yes"?>
<Relationships xmlns="http://schemas.openxmlformats.org/package/2006/relationships"><Relationship Id="rId1" Type="http://schemas.openxmlformats.org/officeDocument/2006/relationships/image" Target="../media/image2.wmf"/></Relationships>
</file>

<file path=xl/drawings/_rels/drawing6.xml.rels><?xml version="1.0" encoding="UTF-8" standalone="yes"?>
<Relationships xmlns="http://schemas.openxmlformats.org/package/2006/relationships"><Relationship Id="rId1" Type="http://schemas.openxmlformats.org/officeDocument/2006/relationships/image" Target="../media/image2.wmf"/></Relationships>
</file>

<file path=xl/drawings/_rels/drawing7.xml.rels><?xml version="1.0" encoding="UTF-8" standalone="yes"?>
<Relationships xmlns="http://schemas.openxmlformats.org/package/2006/relationships"><Relationship Id="rId1" Type="http://schemas.openxmlformats.org/officeDocument/2006/relationships/image" Target="../media/image2.wmf"/></Relationships>
</file>

<file path=xl/drawings/_rels/drawing8.xml.rels><?xml version="1.0" encoding="UTF-8" standalone="yes"?>
<Relationships xmlns="http://schemas.openxmlformats.org/package/2006/relationships"><Relationship Id="rId1" Type="http://schemas.openxmlformats.org/officeDocument/2006/relationships/image" Target="../media/image2.wmf"/></Relationships>
</file>

<file path=xl/drawings/_rels/drawing9.xml.rels><?xml version="1.0" encoding="UTF-8" standalone="yes"?>
<Relationships xmlns="http://schemas.openxmlformats.org/package/2006/relationships"><Relationship Id="rId1" Type="http://schemas.openxmlformats.org/officeDocument/2006/relationships/image" Target="../media/image2.wmf"/></Relationships>
</file>

<file path=xl/drawings/drawing1.xml><?xml version="1.0" encoding="utf-8"?>
<xdr:wsDr xmlns:xdr="http://schemas.openxmlformats.org/drawingml/2006/spreadsheetDrawing" xmlns:a="http://schemas.openxmlformats.org/drawingml/2006/main">
  <xdr:twoCellAnchor>
    <xdr:from>
      <xdr:col>0</xdr:col>
      <xdr:colOff>190500</xdr:colOff>
      <xdr:row>1</xdr:row>
      <xdr:rowOff>12700</xdr:rowOff>
    </xdr:from>
    <xdr:to>
      <xdr:col>18</xdr:col>
      <xdr:colOff>520700</xdr:colOff>
      <xdr:row>17</xdr:row>
      <xdr:rowOff>127000</xdr:rowOff>
    </xdr:to>
    <xdr:sp macro="" textlink="">
      <xdr:nvSpPr>
        <xdr:cNvPr id="2" name="textruta 1">
          <a:extLst>
            <a:ext uri="{FF2B5EF4-FFF2-40B4-BE49-F238E27FC236}">
              <a16:creationId xmlns:a16="http://schemas.microsoft.com/office/drawing/2014/main" id="{7A8B37D0-4DB9-447B-AC21-4B618B1A9BD2}"/>
            </a:ext>
          </a:extLst>
        </xdr:cNvPr>
        <xdr:cNvSpPr txBox="1"/>
      </xdr:nvSpPr>
      <xdr:spPr>
        <a:xfrm>
          <a:off x="190500" y="196850"/>
          <a:ext cx="11303000" cy="3060700"/>
        </a:xfrm>
        <a:prstGeom prst="rect">
          <a:avLst/>
        </a:prstGeom>
        <a:solidFill>
          <a:srgbClr val="002D6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800" b="0" i="0" u="none" strike="noStrike">
              <a:solidFill>
                <a:schemeClr val="bg1"/>
              </a:solidFill>
              <a:effectLst/>
              <a:latin typeface="+mj-lt"/>
              <a:ea typeface="+mn-ea"/>
              <a:cs typeface="+mn-cs"/>
            </a:rPr>
            <a:t>Introduktion</a:t>
          </a:r>
        </a:p>
        <a:p>
          <a:r>
            <a:rPr lang="sv-SE" sz="1100" b="0" i="0" u="none" strike="noStrike">
              <a:solidFill>
                <a:schemeClr val="bg1"/>
              </a:solidFill>
              <a:effectLst/>
              <a:latin typeface="+mn-lt"/>
              <a:ea typeface="+mn-ea"/>
              <a:cs typeface="+mn-cs"/>
            </a:rPr>
            <a:t>Detta verktyg är ett stöd för att räkna fram antalet parkeringsplatser för bil och cykel vid ny-/ombyggnation av bostäder och verksamheter i Kopparlunden (zon 2B). </a:t>
          </a:r>
          <a:br>
            <a:rPr lang="sv-SE" sz="1100" b="0" i="0" u="none" strike="noStrike">
              <a:solidFill>
                <a:schemeClr val="bg1"/>
              </a:solidFill>
              <a:effectLst/>
              <a:latin typeface="+mn-lt"/>
              <a:ea typeface="+mn-ea"/>
              <a:cs typeface="+mn-cs"/>
            </a:rPr>
          </a:br>
          <a:r>
            <a:rPr lang="sv-SE" sz="1100" b="0" i="0" u="none" strike="noStrike">
              <a:solidFill>
                <a:schemeClr val="bg1"/>
              </a:solidFill>
              <a:effectLst/>
              <a:latin typeface="+mn-lt"/>
              <a:ea typeface="+mn-ea"/>
              <a:cs typeface="+mn-cs"/>
            </a:rPr>
            <a:t>Verktyget har</a:t>
          </a:r>
          <a:r>
            <a:rPr lang="sv-SE" sz="1100" b="0" i="0" u="none" strike="noStrike" baseline="0">
              <a:solidFill>
                <a:schemeClr val="bg1"/>
              </a:solidFill>
              <a:effectLst/>
              <a:latin typeface="+mn-lt"/>
              <a:ea typeface="+mn-ea"/>
              <a:cs typeface="+mn-cs"/>
            </a:rPr>
            <a:t> anpassats för att beräkningarna ska stämma överens med den speciella överenskommelse som gjorts mellan Västerås stad och fastighetsägarna i Kopparlunden gällande parkering. </a:t>
          </a:r>
          <a:r>
            <a:rPr lang="sv-SE">
              <a:solidFill>
                <a:schemeClr val="bg1"/>
              </a:solidFill>
            </a:rPr>
            <a:t> </a:t>
          </a:r>
        </a:p>
        <a:p>
          <a:endParaRPr lang="sv-SE" sz="1100">
            <a:solidFill>
              <a:schemeClr val="bg1"/>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sv-SE" sz="1100">
              <a:solidFill>
                <a:schemeClr val="bg1"/>
              </a:solidFill>
              <a:effectLst/>
              <a:latin typeface="+mn-lt"/>
              <a:ea typeface="+mn-ea"/>
              <a:cs typeface="+mn-cs"/>
            </a:rPr>
            <a:t>Baserat på insamlad information var utgångspunkten för verktygets anpassning att det vid tidpunkten för överenskommelsen planerades för bebyggelse som krävde 4 755 platser för bil (grundtal),</a:t>
          </a:r>
          <a:r>
            <a:rPr lang="sv-SE" sz="1100" baseline="0">
              <a:solidFill>
                <a:schemeClr val="bg1"/>
              </a:solidFill>
              <a:effectLst/>
              <a:latin typeface="+mn-lt"/>
              <a:ea typeface="+mn-ea"/>
              <a:cs typeface="+mn-cs"/>
            </a:rPr>
            <a:t> </a:t>
          </a:r>
          <a:r>
            <a:rPr lang="sv-SE" sz="1100">
              <a:solidFill>
                <a:schemeClr val="bg1"/>
              </a:solidFill>
              <a:effectLst/>
              <a:latin typeface="+mn-lt"/>
              <a:ea typeface="+mn-ea"/>
              <a:cs typeface="+mn-cs"/>
            </a:rPr>
            <a:t>enligt då gällande riktlinjer för zon 2. </a:t>
          </a:r>
        </a:p>
        <a:p>
          <a:pPr marL="0" marR="0" lvl="0" indent="0" defTabSz="914400" eaLnBrk="1" fontAlgn="auto" latinLnBrk="0" hangingPunct="1">
            <a:lnSpc>
              <a:spcPct val="100000"/>
            </a:lnSpc>
            <a:spcBef>
              <a:spcPts val="0"/>
            </a:spcBef>
            <a:spcAft>
              <a:spcPts val="0"/>
            </a:spcAft>
            <a:buClrTx/>
            <a:buSzTx/>
            <a:buFontTx/>
            <a:buNone/>
            <a:tabLst/>
            <a:defRPr/>
          </a:pPr>
          <a:r>
            <a:rPr lang="sv-SE" sz="1100">
              <a:solidFill>
                <a:schemeClr val="bg1"/>
              </a:solidFill>
              <a:effectLst/>
              <a:latin typeface="+mn-lt"/>
              <a:ea typeface="+mn-ea"/>
              <a:cs typeface="+mn-cs"/>
            </a:rPr>
            <a:t>   - Dåvarande uppgifter om total BTA har </a:t>
          </a:r>
          <a:r>
            <a:rPr lang="sv-SE" sz="1100" baseline="0">
              <a:solidFill>
                <a:schemeClr val="bg1"/>
              </a:solidFill>
              <a:effectLst/>
              <a:latin typeface="+mn-lt"/>
              <a:ea typeface="+mn-ea"/>
              <a:cs typeface="+mn-cs"/>
            </a:rPr>
            <a:t>fördelats och finjusterats något till </a:t>
          </a:r>
          <a:r>
            <a:rPr lang="sv-SE" sz="1100">
              <a:solidFill>
                <a:schemeClr val="bg1"/>
              </a:solidFill>
              <a:effectLst/>
              <a:latin typeface="+mn-lt"/>
              <a:ea typeface="+mn-ea"/>
              <a:cs typeface="+mn-cs"/>
            </a:rPr>
            <a:t>90 000 m</a:t>
          </a:r>
          <a:r>
            <a:rPr lang="sv-SE" sz="1100" baseline="30000">
              <a:solidFill>
                <a:schemeClr val="bg1"/>
              </a:solidFill>
              <a:effectLst/>
              <a:latin typeface="+mn-lt"/>
              <a:ea typeface="+mn-ea"/>
              <a:cs typeface="+mn-cs"/>
            </a:rPr>
            <a:t>2</a:t>
          </a:r>
          <a:r>
            <a:rPr lang="sv-SE" sz="1100">
              <a:solidFill>
                <a:schemeClr val="bg1"/>
              </a:solidFill>
              <a:effectLst/>
              <a:latin typeface="+mn-lt"/>
              <a:ea typeface="+mn-ea"/>
              <a:cs typeface="+mn-cs"/>
            </a:rPr>
            <a:t> BTA kontor och 313 500 m</a:t>
          </a:r>
          <a:r>
            <a:rPr lang="sv-SE" sz="1100" baseline="30000">
              <a:solidFill>
                <a:schemeClr val="bg1"/>
              </a:solidFill>
              <a:effectLst/>
              <a:latin typeface="+mn-lt"/>
              <a:ea typeface="+mn-ea"/>
              <a:cs typeface="+mn-cs"/>
            </a:rPr>
            <a:t>2</a:t>
          </a:r>
          <a:r>
            <a:rPr lang="sv-SE" sz="1100">
              <a:solidFill>
                <a:schemeClr val="bg1"/>
              </a:solidFill>
              <a:effectLst/>
              <a:latin typeface="+mn-lt"/>
              <a:ea typeface="+mn-ea"/>
              <a:cs typeface="+mn-cs"/>
            </a:rPr>
            <a:t> BTA bostäder, eftersom det motsvarar</a:t>
          </a:r>
          <a:r>
            <a:rPr lang="sv-SE" sz="1100" baseline="0">
              <a:solidFill>
                <a:schemeClr val="bg1"/>
              </a:solidFill>
              <a:effectLst/>
              <a:latin typeface="+mn-lt"/>
              <a:ea typeface="+mn-ea"/>
              <a:cs typeface="+mn-cs"/>
            </a:rPr>
            <a:t> just</a:t>
          </a:r>
          <a:r>
            <a:rPr lang="sv-SE" sz="1100">
              <a:solidFill>
                <a:schemeClr val="bg1"/>
              </a:solidFill>
              <a:effectLst/>
              <a:latin typeface="+mn-lt"/>
              <a:ea typeface="+mn-ea"/>
              <a:cs typeface="+mn-cs"/>
            </a:rPr>
            <a:t> 4 755 platser för bil (grundtal).</a:t>
          </a:r>
          <a:endParaRPr lang="sv-SE">
            <a:solidFill>
              <a:schemeClr val="bg1"/>
            </a:solidFill>
            <a:effectLst/>
          </a:endParaRPr>
        </a:p>
        <a:p>
          <a:r>
            <a:rPr lang="sv-SE" sz="1100">
              <a:solidFill>
                <a:schemeClr val="bg1"/>
              </a:solidFill>
              <a:effectLst/>
              <a:latin typeface="+mn-lt"/>
              <a:ea typeface="+mn-ea"/>
              <a:cs typeface="+mn-cs"/>
            </a:rPr>
            <a:t>   - Med full reduktion (bilpool, MM, samnyttjande) enligt då gällande riktlinjer för zon 2, blir behovet 2</a:t>
          </a:r>
          <a:r>
            <a:rPr lang="sv-SE" sz="1100" baseline="0">
              <a:solidFill>
                <a:schemeClr val="bg1"/>
              </a:solidFill>
              <a:effectLst/>
              <a:latin typeface="+mn-lt"/>
              <a:ea typeface="+mn-ea"/>
              <a:cs typeface="+mn-cs"/>
            </a:rPr>
            <a:t> 989</a:t>
          </a:r>
          <a:r>
            <a:rPr lang="sv-SE" sz="1100">
              <a:solidFill>
                <a:schemeClr val="bg1"/>
              </a:solidFill>
              <a:effectLst/>
              <a:latin typeface="+mn-lt"/>
              <a:ea typeface="+mn-ea"/>
              <a:cs typeface="+mn-cs"/>
            </a:rPr>
            <a:t> platser för bil, vilket motsvarar en reduktion på ca 37 %.</a:t>
          </a:r>
          <a:endParaRPr lang="sv-SE">
            <a:solidFill>
              <a:schemeClr val="bg1"/>
            </a:solidFill>
            <a:effectLst/>
          </a:endParaRPr>
        </a:p>
        <a:p>
          <a:r>
            <a:rPr lang="sv-SE" sz="1100">
              <a:solidFill>
                <a:schemeClr val="bg1"/>
              </a:solidFill>
              <a:effectLst/>
              <a:latin typeface="+mn-lt"/>
              <a:ea typeface="+mn-ea"/>
              <a:cs typeface="+mn-cs"/>
            </a:rPr>
            <a:t>   - Överenskommelsen anger att det istället ska</a:t>
          </a:r>
          <a:r>
            <a:rPr lang="sv-SE" sz="1100" baseline="0">
              <a:solidFill>
                <a:schemeClr val="bg1"/>
              </a:solidFill>
              <a:effectLst/>
              <a:latin typeface="+mn-lt"/>
              <a:ea typeface="+mn-ea"/>
              <a:cs typeface="+mn-cs"/>
            </a:rPr>
            <a:t> ordnas 2 437 bilparkeringsplatser efter reduktion, vilket motsvarar en reduktion på ca 49 %.</a:t>
          </a:r>
          <a:endParaRPr lang="sv-SE">
            <a:solidFill>
              <a:schemeClr val="bg1"/>
            </a:solidFill>
            <a:effectLst/>
          </a:endParaRPr>
        </a:p>
        <a:p>
          <a:r>
            <a:rPr lang="sv-SE" sz="1100" baseline="0">
              <a:solidFill>
                <a:schemeClr val="bg1"/>
              </a:solidFill>
              <a:effectLst/>
              <a:latin typeface="+mn-lt"/>
              <a:ea typeface="+mn-ea"/>
              <a:cs typeface="+mn-cs"/>
            </a:rPr>
            <a:t>I detta verktyg har värden för beräknadet av samnyttjande ändrats, så att den reduktion som totalt sett erhålls ökat från 37 % till 49 %.</a:t>
          </a:r>
          <a:endParaRPr lang="sv-SE">
            <a:solidFill>
              <a:schemeClr val="bg1"/>
            </a:solidFill>
            <a:effectLst/>
          </a:endParaRPr>
        </a:p>
      </xdr:txBody>
    </xdr:sp>
    <xdr:clientData/>
  </xdr:twoCellAnchor>
  <xdr:twoCellAnchor editAs="oneCell">
    <xdr:from>
      <xdr:col>0</xdr:col>
      <xdr:colOff>374650</xdr:colOff>
      <xdr:row>12</xdr:row>
      <xdr:rowOff>6350</xdr:rowOff>
    </xdr:from>
    <xdr:to>
      <xdr:col>1</xdr:col>
      <xdr:colOff>365125</xdr:colOff>
      <xdr:row>16</xdr:row>
      <xdr:rowOff>98425</xdr:rowOff>
    </xdr:to>
    <xdr:pic>
      <xdr:nvPicPr>
        <xdr:cNvPr id="4" name="Bildobjekt 3" descr="Logo" title="Logo">
          <a:extLst>
            <a:ext uri="{FF2B5EF4-FFF2-40B4-BE49-F238E27FC236}">
              <a16:creationId xmlns:a16="http://schemas.microsoft.com/office/drawing/2014/main" id="{FD602A16-D203-41AB-BEB9-6EE11D66317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4650" y="2216150"/>
          <a:ext cx="600075" cy="8286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22860</xdr:rowOff>
    </xdr:from>
    <xdr:to>
      <xdr:col>0</xdr:col>
      <xdr:colOff>815340</xdr:colOff>
      <xdr:row>3</xdr:row>
      <xdr:rowOff>30480</xdr:rowOff>
    </xdr:to>
    <xdr:pic>
      <xdr:nvPicPr>
        <xdr:cNvPr id="2" name="Bild 55" descr="nytt stadsvapen för A4">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860"/>
          <a:ext cx="815340" cy="556260"/>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22860</xdr:rowOff>
    </xdr:from>
    <xdr:to>
      <xdr:col>0</xdr:col>
      <xdr:colOff>815340</xdr:colOff>
      <xdr:row>3</xdr:row>
      <xdr:rowOff>30480</xdr:rowOff>
    </xdr:to>
    <xdr:pic>
      <xdr:nvPicPr>
        <xdr:cNvPr id="2" name="Bild 55" descr="nytt stadsvapen för A4">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860"/>
          <a:ext cx="815340" cy="55626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22860</xdr:rowOff>
    </xdr:from>
    <xdr:to>
      <xdr:col>0</xdr:col>
      <xdr:colOff>815340</xdr:colOff>
      <xdr:row>3</xdr:row>
      <xdr:rowOff>30480</xdr:rowOff>
    </xdr:to>
    <xdr:pic>
      <xdr:nvPicPr>
        <xdr:cNvPr id="7" name="Bild 55" descr="nytt stadsvapen för A4">
          <a:extLst>
            <a:ext uri="{FF2B5EF4-FFF2-40B4-BE49-F238E27FC236}">
              <a16:creationId xmlns:a16="http://schemas.microsoft.com/office/drawing/2014/main" id="{00000000-0008-0000-02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860"/>
          <a:ext cx="815340" cy="556260"/>
        </a:xfrm>
        <a:prstGeom prst="rect">
          <a:avLst/>
        </a:prstGeom>
        <a:noFill/>
      </xdr:spPr>
    </xdr:pic>
    <xdr:clientData/>
  </xdr:twoCellAnchor>
  <xdr:twoCellAnchor>
    <xdr:from>
      <xdr:col>3</xdr:col>
      <xdr:colOff>218715</xdr:colOff>
      <xdr:row>14</xdr:row>
      <xdr:rowOff>21165</xdr:rowOff>
    </xdr:from>
    <xdr:to>
      <xdr:col>6</xdr:col>
      <xdr:colOff>352775</xdr:colOff>
      <xdr:row>22</xdr:row>
      <xdr:rowOff>173610</xdr:rowOff>
    </xdr:to>
    <xdr:grpSp>
      <xdr:nvGrpSpPr>
        <xdr:cNvPr id="5" name="Grupp 4">
          <a:extLst>
            <a:ext uri="{FF2B5EF4-FFF2-40B4-BE49-F238E27FC236}">
              <a16:creationId xmlns:a16="http://schemas.microsoft.com/office/drawing/2014/main" id="{54C4720A-830D-451B-8D5E-5526B13A402A}"/>
            </a:ext>
          </a:extLst>
        </xdr:cNvPr>
        <xdr:cNvGrpSpPr/>
      </xdr:nvGrpSpPr>
      <xdr:grpSpPr>
        <a:xfrm>
          <a:off x="5044715" y="2218265"/>
          <a:ext cx="2216860" cy="1625645"/>
          <a:chOff x="4473215" y="2518832"/>
          <a:chExt cx="2215449" cy="1620000"/>
        </a:xfrm>
      </xdr:grpSpPr>
      <xdr:sp macro="" textlink="">
        <xdr:nvSpPr>
          <xdr:cNvPr id="6" name="textruta 5">
            <a:extLst>
              <a:ext uri="{FF2B5EF4-FFF2-40B4-BE49-F238E27FC236}">
                <a16:creationId xmlns:a16="http://schemas.microsoft.com/office/drawing/2014/main" id="{AAAD8237-8ADC-40AA-90B6-24FCADEF5F62}"/>
              </a:ext>
            </a:extLst>
          </xdr:cNvPr>
          <xdr:cNvSpPr txBox="1"/>
        </xdr:nvSpPr>
        <xdr:spPr>
          <a:xfrm>
            <a:off x="4804303" y="2518832"/>
            <a:ext cx="1884361" cy="1620000"/>
          </a:xfrm>
          <a:prstGeom prst="rect">
            <a:avLst/>
          </a:prstGeom>
          <a:ln w="38100">
            <a:solidFill>
              <a:srgbClr val="00B0F0"/>
            </a:solidFill>
          </a:ln>
          <a:effectLst/>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ctr">
            <a:noAutofit/>
          </a:bodyPr>
          <a:lstStyle/>
          <a:p>
            <a:r>
              <a:rPr lang="sv-SE" sz="900">
                <a:solidFill>
                  <a:schemeClr val="dk1"/>
                </a:solidFill>
                <a:effectLst/>
                <a:latin typeface="+mn-lt"/>
                <a:ea typeface="+mn-ea"/>
                <a:cs typeface="+mn-cs"/>
              </a:rPr>
              <a:t>De olika alternativen ger olika noggrannhet/resultat. Det som slutligen gäller vid ansökan om bygglov är resultatet som fås med känd</a:t>
            </a:r>
            <a:r>
              <a:rPr lang="sv-SE" sz="900" baseline="0">
                <a:solidFill>
                  <a:schemeClr val="dk1"/>
                </a:solidFill>
                <a:effectLst/>
                <a:latin typeface="+mn-lt"/>
                <a:ea typeface="+mn-ea"/>
                <a:cs typeface="+mn-cs"/>
              </a:rPr>
              <a:t> lägenhetsfördelning (alternativet längst ner). De andra två alternativen används endast för ungefärliga beräkningar i tidiga skeden, då lägenhetsfördelningen ännu inte är känd.</a:t>
            </a:r>
            <a:endParaRPr lang="sv-SE" sz="900">
              <a:effectLst/>
            </a:endParaRPr>
          </a:p>
        </xdr:txBody>
      </xdr:sp>
      <xdr:sp macro="" textlink="">
        <xdr:nvSpPr>
          <xdr:cNvPr id="3" name="Höger klammerparentes 2">
            <a:extLst>
              <a:ext uri="{FF2B5EF4-FFF2-40B4-BE49-F238E27FC236}">
                <a16:creationId xmlns:a16="http://schemas.microsoft.com/office/drawing/2014/main" id="{26EEA30F-FA02-422D-9F82-84B9EE24EED6}"/>
              </a:ext>
            </a:extLst>
          </xdr:cNvPr>
          <xdr:cNvSpPr/>
        </xdr:nvSpPr>
        <xdr:spPr>
          <a:xfrm>
            <a:off x="4473215" y="2525891"/>
            <a:ext cx="303389" cy="1584000"/>
          </a:xfrm>
          <a:prstGeom prst="rightBrace">
            <a:avLst/>
          </a:prstGeom>
          <a:ln w="38100">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sv-SE" sz="1100"/>
          </a:p>
        </xdr:txBody>
      </xdr:sp>
    </xdr:grpSp>
    <xdr:clientData/>
  </xdr:twoCellAnchor>
  <xdr:twoCellAnchor editAs="oneCell">
    <xdr:from>
      <xdr:col>8</xdr:col>
      <xdr:colOff>190500</xdr:colOff>
      <xdr:row>2</xdr:row>
      <xdr:rowOff>76200</xdr:rowOff>
    </xdr:from>
    <xdr:to>
      <xdr:col>16</xdr:col>
      <xdr:colOff>57668</xdr:colOff>
      <xdr:row>24</xdr:row>
      <xdr:rowOff>28578</xdr:rowOff>
    </xdr:to>
    <xdr:pic>
      <xdr:nvPicPr>
        <xdr:cNvPr id="8" name="Bildobjekt 7">
          <a:extLst>
            <a:ext uri="{FF2B5EF4-FFF2-40B4-BE49-F238E27FC236}">
              <a16:creationId xmlns:a16="http://schemas.microsoft.com/office/drawing/2014/main" id="{2F643825-EBEE-4159-8A53-A8195A688F2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43900" y="444500"/>
          <a:ext cx="4832868" cy="3622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22860</xdr:rowOff>
    </xdr:from>
    <xdr:to>
      <xdr:col>0</xdr:col>
      <xdr:colOff>815340</xdr:colOff>
      <xdr:row>3</xdr:row>
      <xdr:rowOff>33655</xdr:rowOff>
    </xdr:to>
    <xdr:pic>
      <xdr:nvPicPr>
        <xdr:cNvPr id="2" name="Bild 55" descr="nytt stadsvapen för A4">
          <a:extLst>
            <a:ext uri="{FF2B5EF4-FFF2-40B4-BE49-F238E27FC236}">
              <a16:creationId xmlns:a16="http://schemas.microsoft.com/office/drawing/2014/main" id="{4309E967-564A-4392-BE08-3C5321D1256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860"/>
          <a:ext cx="815340" cy="57912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oneCellAnchor>
    <xdr:from>
      <xdr:col>7</xdr:col>
      <xdr:colOff>476251</xdr:colOff>
      <xdr:row>10</xdr:row>
      <xdr:rowOff>57151</xdr:rowOff>
    </xdr:from>
    <xdr:ext cx="4314824" cy="1470146"/>
    <xdr:sp macro="" textlink="">
      <xdr:nvSpPr>
        <xdr:cNvPr id="2" name="textruta 1">
          <a:extLst>
            <a:ext uri="{FF2B5EF4-FFF2-40B4-BE49-F238E27FC236}">
              <a16:creationId xmlns:a16="http://schemas.microsoft.com/office/drawing/2014/main" id="{00000000-0008-0000-0400-000002000000}"/>
            </a:ext>
          </a:extLst>
        </xdr:cNvPr>
        <xdr:cNvSpPr txBox="1"/>
      </xdr:nvSpPr>
      <xdr:spPr>
        <a:xfrm>
          <a:off x="7981951" y="1428751"/>
          <a:ext cx="4314824" cy="1470146"/>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spAutoFit/>
        </a:bodyPr>
        <a:lstStyle/>
        <a:p>
          <a:r>
            <a:rPr lang="sv-SE" sz="1100"/>
            <a:t>Om både yta och antal lgh har angetts under fliken "förutsättningar" kommer beräkningen  av antalet cykelplatser för bostäder i flerbostadshus att ge flera olika resultat, (1),</a:t>
          </a:r>
          <a:r>
            <a:rPr lang="sv-SE" sz="1100" baseline="0"/>
            <a:t> (2) och (3). </a:t>
          </a:r>
        </a:p>
        <a:p>
          <a:endParaRPr lang="sv-SE" sz="1100" baseline="0"/>
        </a:p>
        <a:p>
          <a:pPr marL="0" marR="0" indent="0" defTabSz="914400" eaLnBrk="1" fontAlgn="auto" latinLnBrk="0" hangingPunct="1">
            <a:lnSpc>
              <a:spcPct val="100000"/>
            </a:lnSpc>
            <a:spcBef>
              <a:spcPts val="0"/>
            </a:spcBef>
            <a:spcAft>
              <a:spcPts val="0"/>
            </a:spcAft>
            <a:buClrTx/>
            <a:buSzTx/>
            <a:buFontTx/>
            <a:buNone/>
            <a:tabLst/>
            <a:defRPr/>
          </a:pPr>
          <a:r>
            <a:rPr lang="sv-SE" sz="1100" baseline="0"/>
            <a:t>Är fördelningen av lägenheter känd så rekommenderas att beräkningarna vid siffra (3) används, då dessa siffror är de mest exakta. </a:t>
          </a:r>
          <a:r>
            <a:rPr lang="sv-SE" sz="1100" baseline="0">
              <a:solidFill>
                <a:schemeClr val="dk1"/>
              </a:solidFill>
              <a:effectLst/>
              <a:latin typeface="+mn-lt"/>
              <a:ea typeface="+mn-ea"/>
              <a:cs typeface="+mn-cs"/>
            </a:rPr>
            <a:t>I andra hand används beräkningarna vid siffra (1) och i sista hand siffra (2).</a:t>
          </a:r>
          <a:endParaRPr lang="sv-SE">
            <a:effectLst/>
          </a:endParaRPr>
        </a:p>
      </xdr:txBody>
    </xdr:sp>
    <xdr:clientData/>
  </xdr:oneCellAnchor>
  <xdr:twoCellAnchor>
    <xdr:from>
      <xdr:col>0</xdr:col>
      <xdr:colOff>3467100</xdr:colOff>
      <xdr:row>11</xdr:row>
      <xdr:rowOff>38100</xdr:rowOff>
    </xdr:from>
    <xdr:to>
      <xdr:col>1</xdr:col>
      <xdr:colOff>238125</xdr:colOff>
      <xdr:row>11</xdr:row>
      <xdr:rowOff>314325</xdr:rowOff>
    </xdr:to>
    <xdr:grpSp>
      <xdr:nvGrpSpPr>
        <xdr:cNvPr id="12" name="Grupp 11">
          <a:extLst>
            <a:ext uri="{FF2B5EF4-FFF2-40B4-BE49-F238E27FC236}">
              <a16:creationId xmlns:a16="http://schemas.microsoft.com/office/drawing/2014/main" id="{00000000-0008-0000-0400-00000C000000}"/>
            </a:ext>
          </a:extLst>
        </xdr:cNvPr>
        <xdr:cNvGrpSpPr/>
      </xdr:nvGrpSpPr>
      <xdr:grpSpPr>
        <a:xfrm>
          <a:off x="3467100" y="1771650"/>
          <a:ext cx="644525" cy="276225"/>
          <a:chOff x="8382000" y="676275"/>
          <a:chExt cx="466725" cy="276225"/>
        </a:xfrm>
      </xdr:grpSpPr>
      <xdr:sp macro="" textlink="">
        <xdr:nvSpPr>
          <xdr:cNvPr id="13" name="Ellips 12">
            <a:extLst>
              <a:ext uri="{FF2B5EF4-FFF2-40B4-BE49-F238E27FC236}">
                <a16:creationId xmlns:a16="http://schemas.microsoft.com/office/drawing/2014/main" id="{00000000-0008-0000-0400-00000D000000}"/>
              </a:ext>
            </a:extLst>
          </xdr:cNvPr>
          <xdr:cNvSpPr/>
        </xdr:nvSpPr>
        <xdr:spPr>
          <a:xfrm>
            <a:off x="8382000" y="676275"/>
            <a:ext cx="276225" cy="276225"/>
          </a:xfrm>
          <a:prstGeom prst="ellipse">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sv-SE" sz="1100"/>
          </a:p>
        </xdr:txBody>
      </xdr:sp>
      <xdr:sp macro="" textlink="">
        <xdr:nvSpPr>
          <xdr:cNvPr id="14" name="textruta 13">
            <a:extLst>
              <a:ext uri="{FF2B5EF4-FFF2-40B4-BE49-F238E27FC236}">
                <a16:creationId xmlns:a16="http://schemas.microsoft.com/office/drawing/2014/main" id="{00000000-0008-0000-0400-00000E000000}"/>
              </a:ext>
            </a:extLst>
          </xdr:cNvPr>
          <xdr:cNvSpPr txBox="1"/>
        </xdr:nvSpPr>
        <xdr:spPr>
          <a:xfrm>
            <a:off x="8391525" y="676275"/>
            <a:ext cx="4572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sv-SE" sz="1100"/>
              <a:t>1</a:t>
            </a:r>
          </a:p>
        </xdr:txBody>
      </xdr:sp>
    </xdr:grpSp>
    <xdr:clientData/>
  </xdr:twoCellAnchor>
  <xdr:twoCellAnchor>
    <xdr:from>
      <xdr:col>0</xdr:col>
      <xdr:colOff>3448050</xdr:colOff>
      <xdr:row>14</xdr:row>
      <xdr:rowOff>219074</xdr:rowOff>
    </xdr:from>
    <xdr:to>
      <xdr:col>1</xdr:col>
      <xdr:colOff>28575</xdr:colOff>
      <xdr:row>15</xdr:row>
      <xdr:rowOff>104775</xdr:rowOff>
    </xdr:to>
    <xdr:sp macro="" textlink="">
      <xdr:nvSpPr>
        <xdr:cNvPr id="16" name="Ellips 15">
          <a:extLst>
            <a:ext uri="{FF2B5EF4-FFF2-40B4-BE49-F238E27FC236}">
              <a16:creationId xmlns:a16="http://schemas.microsoft.com/office/drawing/2014/main" id="{00000000-0008-0000-0400-000010000000}"/>
            </a:ext>
          </a:extLst>
        </xdr:cNvPr>
        <xdr:cNvSpPr/>
      </xdr:nvSpPr>
      <xdr:spPr>
        <a:xfrm>
          <a:off x="3448050" y="2581274"/>
          <a:ext cx="276225" cy="266701"/>
        </a:xfrm>
        <a:prstGeom prst="ellipse">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sv-SE" sz="1100"/>
        </a:p>
      </xdr:txBody>
    </xdr:sp>
    <xdr:clientData/>
  </xdr:twoCellAnchor>
  <xdr:twoCellAnchor>
    <xdr:from>
      <xdr:col>0</xdr:col>
      <xdr:colOff>3467100</xdr:colOff>
      <xdr:row>14</xdr:row>
      <xdr:rowOff>209550</xdr:rowOff>
    </xdr:from>
    <xdr:to>
      <xdr:col>1</xdr:col>
      <xdr:colOff>400050</xdr:colOff>
      <xdr:row>15</xdr:row>
      <xdr:rowOff>171450</xdr:rowOff>
    </xdr:to>
    <xdr:sp macro="" textlink="">
      <xdr:nvSpPr>
        <xdr:cNvPr id="17" name="textruta 16">
          <a:extLst>
            <a:ext uri="{FF2B5EF4-FFF2-40B4-BE49-F238E27FC236}">
              <a16:creationId xmlns:a16="http://schemas.microsoft.com/office/drawing/2014/main" id="{00000000-0008-0000-0400-000011000000}"/>
            </a:ext>
          </a:extLst>
        </xdr:cNvPr>
        <xdr:cNvSpPr txBox="1"/>
      </xdr:nvSpPr>
      <xdr:spPr>
        <a:xfrm>
          <a:off x="3467100" y="2571750"/>
          <a:ext cx="628650" cy="34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sv-SE" sz="1100"/>
            <a:t>2</a:t>
          </a:r>
        </a:p>
      </xdr:txBody>
    </xdr:sp>
    <xdr:clientData/>
  </xdr:twoCellAnchor>
  <xdr:twoCellAnchor>
    <xdr:from>
      <xdr:col>0</xdr:col>
      <xdr:colOff>3448050</xdr:colOff>
      <xdr:row>27</xdr:row>
      <xdr:rowOff>152400</xdr:rowOff>
    </xdr:from>
    <xdr:to>
      <xdr:col>1</xdr:col>
      <xdr:colOff>219075</xdr:colOff>
      <xdr:row>28</xdr:row>
      <xdr:rowOff>47625</xdr:rowOff>
    </xdr:to>
    <xdr:grpSp>
      <xdr:nvGrpSpPr>
        <xdr:cNvPr id="21" name="Grupp 20">
          <a:extLst>
            <a:ext uri="{FF2B5EF4-FFF2-40B4-BE49-F238E27FC236}">
              <a16:creationId xmlns:a16="http://schemas.microsoft.com/office/drawing/2014/main" id="{00000000-0008-0000-0400-000015000000}"/>
            </a:ext>
          </a:extLst>
        </xdr:cNvPr>
        <xdr:cNvGrpSpPr/>
      </xdr:nvGrpSpPr>
      <xdr:grpSpPr>
        <a:xfrm>
          <a:off x="3448050" y="5200650"/>
          <a:ext cx="644525" cy="263525"/>
          <a:chOff x="8382000" y="676275"/>
          <a:chExt cx="466725" cy="276225"/>
        </a:xfrm>
      </xdr:grpSpPr>
      <xdr:sp macro="" textlink="">
        <xdr:nvSpPr>
          <xdr:cNvPr id="22" name="Ellips 21">
            <a:extLst>
              <a:ext uri="{FF2B5EF4-FFF2-40B4-BE49-F238E27FC236}">
                <a16:creationId xmlns:a16="http://schemas.microsoft.com/office/drawing/2014/main" id="{00000000-0008-0000-0400-000016000000}"/>
              </a:ext>
            </a:extLst>
          </xdr:cNvPr>
          <xdr:cNvSpPr/>
        </xdr:nvSpPr>
        <xdr:spPr>
          <a:xfrm>
            <a:off x="8382000" y="676275"/>
            <a:ext cx="276225" cy="276225"/>
          </a:xfrm>
          <a:prstGeom prst="ellipse">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sv-SE" sz="1100"/>
          </a:p>
        </xdr:txBody>
      </xdr:sp>
      <xdr:sp macro="" textlink="">
        <xdr:nvSpPr>
          <xdr:cNvPr id="23" name="textruta 22">
            <a:extLst>
              <a:ext uri="{FF2B5EF4-FFF2-40B4-BE49-F238E27FC236}">
                <a16:creationId xmlns:a16="http://schemas.microsoft.com/office/drawing/2014/main" id="{00000000-0008-0000-0400-000017000000}"/>
              </a:ext>
            </a:extLst>
          </xdr:cNvPr>
          <xdr:cNvSpPr txBox="1"/>
        </xdr:nvSpPr>
        <xdr:spPr>
          <a:xfrm>
            <a:off x="8391525" y="685800"/>
            <a:ext cx="4572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sv-SE" sz="1100"/>
              <a:t>3</a:t>
            </a:r>
          </a:p>
        </xdr:txBody>
      </xdr:sp>
    </xdr:grpSp>
    <xdr:clientData/>
  </xdr:twoCellAnchor>
  <xdr:twoCellAnchor>
    <xdr:from>
      <xdr:col>0</xdr:col>
      <xdr:colOff>3605212</xdr:colOff>
      <xdr:row>10</xdr:row>
      <xdr:rowOff>133351</xdr:rowOff>
    </xdr:from>
    <xdr:to>
      <xdr:col>7</xdr:col>
      <xdr:colOff>495299</xdr:colOff>
      <xdr:row>11</xdr:row>
      <xdr:rowOff>38101</xdr:rowOff>
    </xdr:to>
    <xdr:cxnSp macro="">
      <xdr:nvCxnSpPr>
        <xdr:cNvPr id="4" name="Vinklad  3">
          <a:extLst>
            <a:ext uri="{FF2B5EF4-FFF2-40B4-BE49-F238E27FC236}">
              <a16:creationId xmlns:a16="http://schemas.microsoft.com/office/drawing/2014/main" id="{00000000-0008-0000-0400-000004000000}"/>
            </a:ext>
          </a:extLst>
        </xdr:cNvPr>
        <xdr:cNvCxnSpPr>
          <a:stCxn id="13" idx="0"/>
        </xdr:cNvCxnSpPr>
      </xdr:nvCxnSpPr>
      <xdr:spPr>
        <a:xfrm rot="5400000" flipH="1" flipV="1">
          <a:off x="5660231" y="-550068"/>
          <a:ext cx="133350" cy="4243387"/>
        </a:xfrm>
        <a:prstGeom prst="bentConnector2">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3586163</xdr:colOff>
      <xdr:row>13</xdr:row>
      <xdr:rowOff>9526</xdr:rowOff>
    </xdr:from>
    <xdr:to>
      <xdr:col>7</xdr:col>
      <xdr:colOff>476250</xdr:colOff>
      <xdr:row>14</xdr:row>
      <xdr:rowOff>219075</xdr:rowOff>
    </xdr:to>
    <xdr:cxnSp macro="">
      <xdr:nvCxnSpPr>
        <xdr:cNvPr id="19" name="Vinklad  18">
          <a:extLst>
            <a:ext uri="{FF2B5EF4-FFF2-40B4-BE49-F238E27FC236}">
              <a16:creationId xmlns:a16="http://schemas.microsoft.com/office/drawing/2014/main" id="{00000000-0008-0000-0400-000013000000}"/>
            </a:ext>
          </a:extLst>
        </xdr:cNvPr>
        <xdr:cNvCxnSpPr>
          <a:stCxn id="16" idx="0"/>
        </xdr:cNvCxnSpPr>
      </xdr:nvCxnSpPr>
      <xdr:spPr>
        <a:xfrm rot="5400000" flipH="1" flipV="1">
          <a:off x="5507832" y="259557"/>
          <a:ext cx="400049" cy="4243387"/>
        </a:xfrm>
        <a:prstGeom prst="bentConnector2">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466725</xdr:colOff>
      <xdr:row>4</xdr:row>
      <xdr:rowOff>104775</xdr:rowOff>
    </xdr:from>
    <xdr:to>
      <xdr:col>9</xdr:col>
      <xdr:colOff>209550</xdr:colOff>
      <xdr:row>6</xdr:row>
      <xdr:rowOff>142875</xdr:rowOff>
    </xdr:to>
    <xdr:sp macro="" textlink="">
      <xdr:nvSpPr>
        <xdr:cNvPr id="3" name="Rektangel 2">
          <a:extLst>
            <a:ext uri="{FF2B5EF4-FFF2-40B4-BE49-F238E27FC236}">
              <a16:creationId xmlns:a16="http://schemas.microsoft.com/office/drawing/2014/main" id="{00000000-0008-0000-0400-000003000000}"/>
            </a:ext>
          </a:extLst>
        </xdr:cNvPr>
        <xdr:cNvSpPr/>
      </xdr:nvSpPr>
      <xdr:spPr>
        <a:xfrm>
          <a:off x="5534025" y="333375"/>
          <a:ext cx="3400425" cy="4191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3581404</xdr:colOff>
      <xdr:row>15</xdr:row>
      <xdr:rowOff>104775</xdr:rowOff>
    </xdr:from>
    <xdr:to>
      <xdr:col>0</xdr:col>
      <xdr:colOff>3586164</xdr:colOff>
      <xdr:row>27</xdr:row>
      <xdr:rowOff>152400</xdr:rowOff>
    </xdr:to>
    <xdr:cxnSp macro="">
      <xdr:nvCxnSpPr>
        <xdr:cNvPr id="45" name="Vinklad  44">
          <a:extLst>
            <a:ext uri="{FF2B5EF4-FFF2-40B4-BE49-F238E27FC236}">
              <a16:creationId xmlns:a16="http://schemas.microsoft.com/office/drawing/2014/main" id="{00000000-0008-0000-0400-00002D000000}"/>
            </a:ext>
          </a:extLst>
        </xdr:cNvPr>
        <xdr:cNvCxnSpPr>
          <a:stCxn id="22" idx="0"/>
        </xdr:cNvCxnSpPr>
      </xdr:nvCxnSpPr>
      <xdr:spPr>
        <a:xfrm rot="16200000" flipV="1">
          <a:off x="2416971" y="4012408"/>
          <a:ext cx="2333625" cy="4760"/>
        </a:xfrm>
        <a:prstGeom prst="bentConnector3">
          <a:avLst>
            <a:gd name="adj1" fmla="val 50000"/>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0</xdr:row>
      <xdr:rowOff>22860</xdr:rowOff>
    </xdr:from>
    <xdr:to>
      <xdr:col>0</xdr:col>
      <xdr:colOff>815340</xdr:colOff>
      <xdr:row>3</xdr:row>
      <xdr:rowOff>30480</xdr:rowOff>
    </xdr:to>
    <xdr:pic>
      <xdr:nvPicPr>
        <xdr:cNvPr id="15" name="Bild 55" descr="nytt stadsvapen för A4">
          <a:extLst>
            <a:ext uri="{FF2B5EF4-FFF2-40B4-BE49-F238E27FC236}">
              <a16:creationId xmlns:a16="http://schemas.microsoft.com/office/drawing/2014/main" id="{00000000-0008-0000-0400-00000F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860"/>
          <a:ext cx="815340" cy="55626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oneCellAnchor>
    <xdr:from>
      <xdr:col>7</xdr:col>
      <xdr:colOff>565786</xdr:colOff>
      <xdr:row>10</xdr:row>
      <xdr:rowOff>24766</xdr:rowOff>
    </xdr:from>
    <xdr:ext cx="4314824" cy="1297919"/>
    <xdr:sp macro="" textlink="">
      <xdr:nvSpPr>
        <xdr:cNvPr id="2" name="textruta 1">
          <a:extLst>
            <a:ext uri="{FF2B5EF4-FFF2-40B4-BE49-F238E27FC236}">
              <a16:creationId xmlns:a16="http://schemas.microsoft.com/office/drawing/2014/main" id="{00000000-0008-0000-0500-000002000000}"/>
            </a:ext>
          </a:extLst>
        </xdr:cNvPr>
        <xdr:cNvSpPr txBox="1"/>
      </xdr:nvSpPr>
      <xdr:spPr>
        <a:xfrm>
          <a:off x="7949566" y="1891666"/>
          <a:ext cx="4314824" cy="1297919"/>
        </a:xfrm>
        <a:prstGeom prst="rect">
          <a:avLst/>
        </a:prstGeom>
        <a:solidFill>
          <a:sysClr val="window" lastClr="FFFFFF"/>
        </a:solidFill>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spAutoFit/>
        </a:bodyPr>
        <a:lstStyle/>
        <a:p>
          <a:r>
            <a:rPr lang="sv-SE" sz="1100">
              <a:solidFill>
                <a:schemeClr val="dk1"/>
              </a:solidFill>
              <a:effectLst/>
              <a:latin typeface="+mn-lt"/>
              <a:ea typeface="+mn-ea"/>
              <a:cs typeface="+mn-cs"/>
            </a:rPr>
            <a:t>Om både yta och antal lgh har angetts under fliken "förutsättningar" kommer beräkningen  av antalet bilplatser för bostäder att ge flera olika resultat, "1",</a:t>
          </a:r>
          <a:r>
            <a:rPr lang="sv-SE" sz="1100" baseline="0">
              <a:solidFill>
                <a:schemeClr val="dk1"/>
              </a:solidFill>
              <a:effectLst/>
              <a:latin typeface="+mn-lt"/>
              <a:ea typeface="+mn-ea"/>
              <a:cs typeface="+mn-cs"/>
            </a:rPr>
            <a:t> "2" resp "3". </a:t>
          </a:r>
        </a:p>
        <a:p>
          <a:endParaRPr lang="sv-SE" sz="1100" baseline="0">
            <a:solidFill>
              <a:schemeClr val="dk1"/>
            </a:solidFill>
            <a:effectLst/>
            <a:latin typeface="+mn-lt"/>
            <a:ea typeface="+mn-ea"/>
            <a:cs typeface="+mn-cs"/>
          </a:endParaRPr>
        </a:p>
        <a:p>
          <a:r>
            <a:rPr lang="sv-SE" sz="1100" baseline="0">
              <a:solidFill>
                <a:schemeClr val="dk1"/>
              </a:solidFill>
              <a:effectLst/>
              <a:latin typeface="+mn-lt"/>
              <a:ea typeface="+mn-ea"/>
              <a:cs typeface="+mn-cs"/>
            </a:rPr>
            <a:t>Är fördelningen av lägenheter känd så rekommenderas att beräkningarna vid siffra "3" används. I andra hand används beräkningarna vid siffra "1" och i sista hand siffra "2".</a:t>
          </a:r>
          <a:endParaRPr lang="sv-SE">
            <a:effectLst/>
          </a:endParaRPr>
        </a:p>
      </xdr:txBody>
    </xdr:sp>
    <xdr:clientData/>
  </xdr:oneCellAnchor>
  <xdr:oneCellAnchor>
    <xdr:from>
      <xdr:col>8</xdr:col>
      <xdr:colOff>266700</xdr:colOff>
      <xdr:row>33</xdr:row>
      <xdr:rowOff>47625</xdr:rowOff>
    </xdr:from>
    <xdr:ext cx="4314824" cy="1125693"/>
    <xdr:sp macro="" textlink="">
      <xdr:nvSpPr>
        <xdr:cNvPr id="4" name="textruta 3">
          <a:extLst>
            <a:ext uri="{FF2B5EF4-FFF2-40B4-BE49-F238E27FC236}">
              <a16:creationId xmlns:a16="http://schemas.microsoft.com/office/drawing/2014/main" id="{00000000-0008-0000-0500-000004000000}"/>
            </a:ext>
          </a:extLst>
        </xdr:cNvPr>
        <xdr:cNvSpPr txBox="1"/>
      </xdr:nvSpPr>
      <xdr:spPr>
        <a:xfrm>
          <a:off x="8260080" y="6768465"/>
          <a:ext cx="4314824" cy="1125693"/>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r>
            <a:rPr lang="sv-SE" sz="1100">
              <a:solidFill>
                <a:schemeClr val="dk1"/>
              </a:solidFill>
              <a:effectLst/>
              <a:latin typeface="+mn-lt"/>
              <a:ea typeface="+mn-ea"/>
              <a:cs typeface="+mn-cs"/>
            </a:rPr>
            <a:t>Om både yta och antal studentrum/lgh har angetts under fliken "förutsättningar" kommer beräkningen av antalet bilplatser för studentbostäder att ge flera olika resultat</a:t>
          </a:r>
          <a:r>
            <a:rPr lang="sv-SE" sz="1100" baseline="0">
              <a:solidFill>
                <a:schemeClr val="dk1"/>
              </a:solidFill>
              <a:effectLst/>
              <a:latin typeface="+mn-lt"/>
              <a:ea typeface="+mn-ea"/>
              <a:cs typeface="+mn-cs"/>
            </a:rPr>
            <a:t>. Är fördelningen av rum/lägenheter känd så rekommenderas att denna siffra för parkeringsbehovet läses av. I andra hand läses siffran som baseras på BTA av.</a:t>
          </a:r>
          <a:endParaRPr lang="sv-SE">
            <a:effectLst/>
          </a:endParaRPr>
        </a:p>
      </xdr:txBody>
    </xdr:sp>
    <xdr:clientData/>
  </xdr:oneCellAnchor>
  <xdr:oneCellAnchor>
    <xdr:from>
      <xdr:col>7</xdr:col>
      <xdr:colOff>142875</xdr:colOff>
      <xdr:row>54</xdr:row>
      <xdr:rowOff>19050</xdr:rowOff>
    </xdr:from>
    <xdr:ext cx="4314824" cy="609013"/>
    <xdr:sp macro="" textlink="">
      <xdr:nvSpPr>
        <xdr:cNvPr id="5" name="textruta 4">
          <a:extLst>
            <a:ext uri="{FF2B5EF4-FFF2-40B4-BE49-F238E27FC236}">
              <a16:creationId xmlns:a16="http://schemas.microsoft.com/office/drawing/2014/main" id="{00000000-0008-0000-0500-000005000000}"/>
            </a:ext>
          </a:extLst>
        </xdr:cNvPr>
        <xdr:cNvSpPr txBox="1"/>
      </xdr:nvSpPr>
      <xdr:spPr>
        <a:xfrm>
          <a:off x="6886575" y="9848850"/>
          <a:ext cx="4314824" cy="609013"/>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r>
            <a:rPr lang="sv-SE" sz="1100">
              <a:solidFill>
                <a:schemeClr val="dk1"/>
              </a:solidFill>
              <a:effectLst/>
              <a:latin typeface="+mn-lt"/>
              <a:ea typeface="+mn-ea"/>
              <a:cs typeface="+mn-cs"/>
            </a:rPr>
            <a:t>Platser</a:t>
          </a:r>
          <a:r>
            <a:rPr lang="sv-SE" sz="1100" baseline="0">
              <a:solidFill>
                <a:schemeClr val="dk1"/>
              </a:solidFill>
              <a:effectLst/>
              <a:latin typeface="+mn-lt"/>
              <a:ea typeface="+mn-ea"/>
              <a:cs typeface="+mn-cs"/>
            </a:rPr>
            <a:t> för skjutsande föräldrar är inte inräknat i parkeringstalen. </a:t>
          </a:r>
          <a:r>
            <a:rPr lang="sv-SE" sz="1100">
              <a:solidFill>
                <a:schemeClr val="dk1"/>
              </a:solidFill>
              <a:effectLst/>
              <a:latin typeface="+mn-lt"/>
              <a:ea typeface="+mn-ea"/>
              <a:cs typeface="+mn-cs"/>
            </a:rPr>
            <a:t>För skolor och förskolor krävs alltid en speciell utredning av av- och påstigningsplatser för bilskjuts. </a:t>
          </a:r>
          <a:endParaRPr lang="sv-SE">
            <a:effectLst/>
          </a:endParaRPr>
        </a:p>
      </xdr:txBody>
    </xdr:sp>
    <xdr:clientData/>
  </xdr:oneCellAnchor>
  <xdr:twoCellAnchor>
    <xdr:from>
      <xdr:col>0</xdr:col>
      <xdr:colOff>3438525</xdr:colOff>
      <xdr:row>10</xdr:row>
      <xdr:rowOff>200025</xdr:rowOff>
    </xdr:from>
    <xdr:to>
      <xdr:col>2</xdr:col>
      <xdr:colOff>371474</xdr:colOff>
      <xdr:row>12</xdr:row>
      <xdr:rowOff>57150</xdr:rowOff>
    </xdr:to>
    <xdr:grpSp>
      <xdr:nvGrpSpPr>
        <xdr:cNvPr id="7" name="Grupp 6">
          <a:extLst>
            <a:ext uri="{FF2B5EF4-FFF2-40B4-BE49-F238E27FC236}">
              <a16:creationId xmlns:a16="http://schemas.microsoft.com/office/drawing/2014/main" id="{00000000-0008-0000-0500-000007000000}"/>
            </a:ext>
          </a:extLst>
        </xdr:cNvPr>
        <xdr:cNvGrpSpPr/>
      </xdr:nvGrpSpPr>
      <xdr:grpSpPr>
        <a:xfrm>
          <a:off x="3438525" y="2079625"/>
          <a:ext cx="781049" cy="263525"/>
          <a:chOff x="8382000" y="676275"/>
          <a:chExt cx="639586" cy="276225"/>
        </a:xfrm>
      </xdr:grpSpPr>
      <xdr:sp macro="" textlink="">
        <xdr:nvSpPr>
          <xdr:cNvPr id="6" name="Ellips 5">
            <a:extLst>
              <a:ext uri="{FF2B5EF4-FFF2-40B4-BE49-F238E27FC236}">
                <a16:creationId xmlns:a16="http://schemas.microsoft.com/office/drawing/2014/main" id="{00000000-0008-0000-0500-000006000000}"/>
              </a:ext>
            </a:extLst>
          </xdr:cNvPr>
          <xdr:cNvSpPr/>
        </xdr:nvSpPr>
        <xdr:spPr>
          <a:xfrm>
            <a:off x="8382000" y="676275"/>
            <a:ext cx="276225" cy="276225"/>
          </a:xfrm>
          <a:prstGeom prst="ellipse">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sv-SE" sz="1100"/>
          </a:p>
        </xdr:txBody>
      </xdr:sp>
      <xdr:sp macro="" textlink="">
        <xdr:nvSpPr>
          <xdr:cNvPr id="3" name="textruta 2">
            <a:extLst>
              <a:ext uri="{FF2B5EF4-FFF2-40B4-BE49-F238E27FC236}">
                <a16:creationId xmlns:a16="http://schemas.microsoft.com/office/drawing/2014/main" id="{00000000-0008-0000-0500-000003000000}"/>
              </a:ext>
            </a:extLst>
          </xdr:cNvPr>
          <xdr:cNvSpPr txBox="1"/>
        </xdr:nvSpPr>
        <xdr:spPr>
          <a:xfrm>
            <a:off x="8391524" y="685800"/>
            <a:ext cx="63006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sv-SE" sz="1100"/>
              <a:t>1</a:t>
            </a:r>
          </a:p>
        </xdr:txBody>
      </xdr:sp>
    </xdr:grpSp>
    <xdr:clientData/>
  </xdr:twoCellAnchor>
  <xdr:twoCellAnchor>
    <xdr:from>
      <xdr:col>0</xdr:col>
      <xdr:colOff>3438525</xdr:colOff>
      <xdr:row>15</xdr:row>
      <xdr:rowOff>190500</xdr:rowOff>
    </xdr:from>
    <xdr:to>
      <xdr:col>2</xdr:col>
      <xdr:colOff>219075</xdr:colOff>
      <xdr:row>16</xdr:row>
      <xdr:rowOff>85725</xdr:rowOff>
    </xdr:to>
    <xdr:grpSp>
      <xdr:nvGrpSpPr>
        <xdr:cNvPr id="8" name="Grupp 7">
          <a:extLst>
            <a:ext uri="{FF2B5EF4-FFF2-40B4-BE49-F238E27FC236}">
              <a16:creationId xmlns:a16="http://schemas.microsoft.com/office/drawing/2014/main" id="{00000000-0008-0000-0500-000008000000}"/>
            </a:ext>
          </a:extLst>
        </xdr:cNvPr>
        <xdr:cNvGrpSpPr/>
      </xdr:nvGrpSpPr>
      <xdr:grpSpPr>
        <a:xfrm>
          <a:off x="3438525" y="3028950"/>
          <a:ext cx="628650" cy="263525"/>
          <a:chOff x="8382000" y="676275"/>
          <a:chExt cx="466725" cy="276225"/>
        </a:xfrm>
      </xdr:grpSpPr>
      <xdr:sp macro="" textlink="">
        <xdr:nvSpPr>
          <xdr:cNvPr id="9" name="Ellips 8">
            <a:extLst>
              <a:ext uri="{FF2B5EF4-FFF2-40B4-BE49-F238E27FC236}">
                <a16:creationId xmlns:a16="http://schemas.microsoft.com/office/drawing/2014/main" id="{00000000-0008-0000-0500-000009000000}"/>
              </a:ext>
            </a:extLst>
          </xdr:cNvPr>
          <xdr:cNvSpPr/>
        </xdr:nvSpPr>
        <xdr:spPr>
          <a:xfrm>
            <a:off x="8382000" y="676275"/>
            <a:ext cx="276225" cy="276225"/>
          </a:xfrm>
          <a:prstGeom prst="ellipse">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sv-SE" sz="1100"/>
          </a:p>
        </xdr:txBody>
      </xdr:sp>
      <xdr:sp macro="" textlink="">
        <xdr:nvSpPr>
          <xdr:cNvPr id="10" name="textruta 9">
            <a:extLst>
              <a:ext uri="{FF2B5EF4-FFF2-40B4-BE49-F238E27FC236}">
                <a16:creationId xmlns:a16="http://schemas.microsoft.com/office/drawing/2014/main" id="{00000000-0008-0000-0500-00000A000000}"/>
              </a:ext>
            </a:extLst>
          </xdr:cNvPr>
          <xdr:cNvSpPr txBox="1"/>
        </xdr:nvSpPr>
        <xdr:spPr>
          <a:xfrm>
            <a:off x="8391525" y="676275"/>
            <a:ext cx="4572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sv-SE" sz="1100"/>
              <a:t>2</a:t>
            </a:r>
          </a:p>
        </xdr:txBody>
      </xdr:sp>
    </xdr:grpSp>
    <xdr:clientData/>
  </xdr:twoCellAnchor>
  <xdr:twoCellAnchor>
    <xdr:from>
      <xdr:col>0</xdr:col>
      <xdr:colOff>3438525</xdr:colOff>
      <xdr:row>29</xdr:row>
      <xdr:rowOff>161925</xdr:rowOff>
    </xdr:from>
    <xdr:to>
      <xdr:col>2</xdr:col>
      <xdr:colOff>247650</xdr:colOff>
      <xdr:row>30</xdr:row>
      <xdr:rowOff>66675</xdr:rowOff>
    </xdr:to>
    <xdr:grpSp>
      <xdr:nvGrpSpPr>
        <xdr:cNvPr id="11" name="Grupp 10">
          <a:extLst>
            <a:ext uri="{FF2B5EF4-FFF2-40B4-BE49-F238E27FC236}">
              <a16:creationId xmlns:a16="http://schemas.microsoft.com/office/drawing/2014/main" id="{00000000-0008-0000-0500-00000B000000}"/>
            </a:ext>
          </a:extLst>
        </xdr:cNvPr>
        <xdr:cNvGrpSpPr/>
      </xdr:nvGrpSpPr>
      <xdr:grpSpPr>
        <a:xfrm>
          <a:off x="3438525" y="5762625"/>
          <a:ext cx="657225" cy="273050"/>
          <a:chOff x="8382000" y="666750"/>
          <a:chExt cx="466725" cy="285750"/>
        </a:xfrm>
      </xdr:grpSpPr>
      <xdr:sp macro="" textlink="">
        <xdr:nvSpPr>
          <xdr:cNvPr id="12" name="Ellips 11">
            <a:extLst>
              <a:ext uri="{FF2B5EF4-FFF2-40B4-BE49-F238E27FC236}">
                <a16:creationId xmlns:a16="http://schemas.microsoft.com/office/drawing/2014/main" id="{00000000-0008-0000-0500-00000C000000}"/>
              </a:ext>
            </a:extLst>
          </xdr:cNvPr>
          <xdr:cNvSpPr/>
        </xdr:nvSpPr>
        <xdr:spPr>
          <a:xfrm>
            <a:off x="8382000" y="676275"/>
            <a:ext cx="276225" cy="276225"/>
          </a:xfrm>
          <a:prstGeom prst="ellipse">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sv-SE" sz="1100"/>
          </a:p>
        </xdr:txBody>
      </xdr:sp>
      <xdr:sp macro="" textlink="">
        <xdr:nvSpPr>
          <xdr:cNvPr id="13" name="textruta 12">
            <a:extLst>
              <a:ext uri="{FF2B5EF4-FFF2-40B4-BE49-F238E27FC236}">
                <a16:creationId xmlns:a16="http://schemas.microsoft.com/office/drawing/2014/main" id="{00000000-0008-0000-0500-00000D000000}"/>
              </a:ext>
            </a:extLst>
          </xdr:cNvPr>
          <xdr:cNvSpPr txBox="1"/>
        </xdr:nvSpPr>
        <xdr:spPr>
          <a:xfrm>
            <a:off x="8391525" y="666750"/>
            <a:ext cx="4572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sv-SE" sz="1100"/>
              <a:t>3</a:t>
            </a:r>
          </a:p>
        </xdr:txBody>
      </xdr:sp>
    </xdr:grpSp>
    <xdr:clientData/>
  </xdr:twoCellAnchor>
  <xdr:twoCellAnchor>
    <xdr:from>
      <xdr:col>0</xdr:col>
      <xdr:colOff>3576637</xdr:colOff>
      <xdr:row>10</xdr:row>
      <xdr:rowOff>60960</xdr:rowOff>
    </xdr:from>
    <xdr:to>
      <xdr:col>7</xdr:col>
      <xdr:colOff>571503</xdr:colOff>
      <xdr:row>10</xdr:row>
      <xdr:rowOff>200025</xdr:rowOff>
    </xdr:to>
    <xdr:cxnSp macro="">
      <xdr:nvCxnSpPr>
        <xdr:cNvPr id="14" name="Vinklad  13">
          <a:extLst>
            <a:ext uri="{FF2B5EF4-FFF2-40B4-BE49-F238E27FC236}">
              <a16:creationId xmlns:a16="http://schemas.microsoft.com/office/drawing/2014/main" id="{00000000-0008-0000-0500-00000E000000}"/>
            </a:ext>
          </a:extLst>
        </xdr:cNvPr>
        <xdr:cNvCxnSpPr/>
      </xdr:nvCxnSpPr>
      <xdr:spPr>
        <a:xfrm flipV="1">
          <a:off x="3576637" y="1927860"/>
          <a:ext cx="4378646" cy="139065"/>
        </a:xfrm>
        <a:prstGeom prst="bentConnector3">
          <a:avLst>
            <a:gd name="adj1" fmla="val -120"/>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3535280</xdr:colOff>
      <xdr:row>14</xdr:row>
      <xdr:rowOff>68580</xdr:rowOff>
    </xdr:from>
    <xdr:to>
      <xdr:col>7</xdr:col>
      <xdr:colOff>563880</xdr:colOff>
      <xdr:row>15</xdr:row>
      <xdr:rowOff>228720</xdr:rowOff>
    </xdr:to>
    <xdr:cxnSp macro="">
      <xdr:nvCxnSpPr>
        <xdr:cNvPr id="15" name="Vinklad  14">
          <a:extLst>
            <a:ext uri="{FF2B5EF4-FFF2-40B4-BE49-F238E27FC236}">
              <a16:creationId xmlns:a16="http://schemas.microsoft.com/office/drawing/2014/main" id="{00000000-0008-0000-0500-00000F000000}"/>
            </a:ext>
          </a:extLst>
        </xdr:cNvPr>
        <xdr:cNvCxnSpPr>
          <a:stCxn id="9" idx="1"/>
        </xdr:cNvCxnSpPr>
      </xdr:nvCxnSpPr>
      <xdr:spPr>
        <a:xfrm rot="5400000" flipH="1" flipV="1">
          <a:off x="5566150" y="674230"/>
          <a:ext cx="350640" cy="4412380"/>
        </a:xfrm>
        <a:prstGeom prst="bentConnector2">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160020</xdr:colOff>
      <xdr:row>16</xdr:row>
      <xdr:rowOff>15239</xdr:rowOff>
    </xdr:from>
    <xdr:to>
      <xdr:col>12</xdr:col>
      <xdr:colOff>512445</xdr:colOff>
      <xdr:row>17</xdr:row>
      <xdr:rowOff>175260</xdr:rowOff>
    </xdr:to>
    <xdr:sp macro="" textlink="">
      <xdr:nvSpPr>
        <xdr:cNvPr id="20" name="Ned 19">
          <a:extLst>
            <a:ext uri="{FF2B5EF4-FFF2-40B4-BE49-F238E27FC236}">
              <a16:creationId xmlns:a16="http://schemas.microsoft.com/office/drawing/2014/main" id="{00000000-0008-0000-0500-000014000000}"/>
            </a:ext>
          </a:extLst>
        </xdr:cNvPr>
        <xdr:cNvSpPr/>
      </xdr:nvSpPr>
      <xdr:spPr>
        <a:xfrm>
          <a:off x="10591800" y="3208019"/>
          <a:ext cx="352425" cy="342901"/>
        </a:xfrm>
        <a:prstGeom prst="downArrow">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sv-SE" sz="1100"/>
        </a:p>
      </xdr:txBody>
    </xdr:sp>
    <xdr:clientData/>
  </xdr:twoCellAnchor>
  <xdr:twoCellAnchor>
    <xdr:from>
      <xdr:col>3</xdr:col>
      <xdr:colOff>495299</xdr:colOff>
      <xdr:row>3</xdr:row>
      <xdr:rowOff>26670</xdr:rowOff>
    </xdr:from>
    <xdr:to>
      <xdr:col>12</xdr:col>
      <xdr:colOff>28574</xdr:colOff>
      <xdr:row>9</xdr:row>
      <xdr:rowOff>106680</xdr:rowOff>
    </xdr:to>
    <xdr:sp macro="" textlink="">
      <xdr:nvSpPr>
        <xdr:cNvPr id="19" name="Rektangel 18">
          <a:extLst>
            <a:ext uri="{FF2B5EF4-FFF2-40B4-BE49-F238E27FC236}">
              <a16:creationId xmlns:a16="http://schemas.microsoft.com/office/drawing/2014/main" id="{00000000-0008-0000-0500-000013000000}"/>
            </a:ext>
          </a:extLst>
        </xdr:cNvPr>
        <xdr:cNvSpPr/>
      </xdr:nvSpPr>
      <xdr:spPr>
        <a:xfrm>
          <a:off x="4781549" y="598170"/>
          <a:ext cx="5019675" cy="126111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editAs="oneCell">
    <xdr:from>
      <xdr:col>0</xdr:col>
      <xdr:colOff>0</xdr:colOff>
      <xdr:row>0</xdr:row>
      <xdr:rowOff>22860</xdr:rowOff>
    </xdr:from>
    <xdr:to>
      <xdr:col>0</xdr:col>
      <xdr:colOff>815340</xdr:colOff>
      <xdr:row>3</xdr:row>
      <xdr:rowOff>30480</xdr:rowOff>
    </xdr:to>
    <xdr:pic>
      <xdr:nvPicPr>
        <xdr:cNvPr id="21" name="Bild 55" descr="nytt stadsvapen för A4">
          <a:extLst>
            <a:ext uri="{FF2B5EF4-FFF2-40B4-BE49-F238E27FC236}">
              <a16:creationId xmlns:a16="http://schemas.microsoft.com/office/drawing/2014/main" id="{00000000-0008-0000-0500-00001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860"/>
          <a:ext cx="815340" cy="556260"/>
        </a:xfrm>
        <a:prstGeom prst="rect">
          <a:avLst/>
        </a:prstGeom>
        <a:noFill/>
      </xdr:spPr>
    </xdr:pic>
    <xdr:clientData/>
  </xdr:twoCellAnchor>
  <xdr:twoCellAnchor>
    <xdr:from>
      <xdr:col>0</xdr:col>
      <xdr:colOff>3535280</xdr:colOff>
      <xdr:row>16</xdr:row>
      <xdr:rowOff>47505</xdr:rowOff>
    </xdr:from>
    <xdr:to>
      <xdr:col>0</xdr:col>
      <xdr:colOff>3543300</xdr:colOff>
      <xdr:row>29</xdr:row>
      <xdr:rowOff>205740</xdr:rowOff>
    </xdr:to>
    <xdr:cxnSp macro="">
      <xdr:nvCxnSpPr>
        <xdr:cNvPr id="34" name="Rak 33">
          <a:extLst>
            <a:ext uri="{FF2B5EF4-FFF2-40B4-BE49-F238E27FC236}">
              <a16:creationId xmlns:a16="http://schemas.microsoft.com/office/drawing/2014/main" id="{00000000-0008-0000-0500-000022000000}"/>
            </a:ext>
          </a:extLst>
        </xdr:cNvPr>
        <xdr:cNvCxnSpPr>
          <a:stCxn id="9" idx="3"/>
        </xdr:cNvCxnSpPr>
      </xdr:nvCxnSpPr>
      <xdr:spPr>
        <a:xfrm>
          <a:off x="3535280" y="3240285"/>
          <a:ext cx="8020" cy="2550915"/>
        </a:xfrm>
        <a:prstGeom prst="line">
          <a:avLst/>
        </a:prstGeom>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oneCellAnchor>
    <xdr:from>
      <xdr:col>0</xdr:col>
      <xdr:colOff>152401</xdr:colOff>
      <xdr:row>30</xdr:row>
      <xdr:rowOff>171451</xdr:rowOff>
    </xdr:from>
    <xdr:ext cx="4314824" cy="609013"/>
    <xdr:sp macro="" textlink="">
      <xdr:nvSpPr>
        <xdr:cNvPr id="2" name="textruta 1">
          <a:extLst>
            <a:ext uri="{FF2B5EF4-FFF2-40B4-BE49-F238E27FC236}">
              <a16:creationId xmlns:a16="http://schemas.microsoft.com/office/drawing/2014/main" id="{00000000-0008-0000-0600-000002000000}"/>
            </a:ext>
          </a:extLst>
        </xdr:cNvPr>
        <xdr:cNvSpPr txBox="1"/>
      </xdr:nvSpPr>
      <xdr:spPr>
        <a:xfrm>
          <a:off x="152401" y="6396991"/>
          <a:ext cx="4314824" cy="609013"/>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r>
            <a:rPr lang="sv-SE" sz="1100">
              <a:solidFill>
                <a:schemeClr val="dk1"/>
              </a:solidFill>
              <a:effectLst/>
              <a:latin typeface="+mn-lt"/>
              <a:ea typeface="+mn-ea"/>
              <a:cs typeface="+mn-cs"/>
            </a:rPr>
            <a:t>För studentbostäder medges ingen reduktion, parkeringstalen för bil är redan mycket låga. För villor och radhus med parkering på tomten medges ingen reduktion enligt detta verktyg. </a:t>
          </a:r>
          <a:endParaRPr lang="sv-SE">
            <a:effectLst/>
          </a:endParaRPr>
        </a:p>
      </xdr:txBody>
    </xdr:sp>
    <xdr:clientData/>
  </xdr:oneCellAnchor>
  <xdr:oneCellAnchor>
    <xdr:from>
      <xdr:col>0</xdr:col>
      <xdr:colOff>133350</xdr:colOff>
      <xdr:row>11</xdr:row>
      <xdr:rowOff>152400</xdr:rowOff>
    </xdr:from>
    <xdr:ext cx="5750677" cy="264560"/>
    <xdr:sp macro="" textlink="">
      <xdr:nvSpPr>
        <xdr:cNvPr id="3" name="textruta 2">
          <a:extLst>
            <a:ext uri="{FF2B5EF4-FFF2-40B4-BE49-F238E27FC236}">
              <a16:creationId xmlns:a16="http://schemas.microsoft.com/office/drawing/2014/main" id="{00000000-0008-0000-0600-000003000000}"/>
            </a:ext>
          </a:extLst>
        </xdr:cNvPr>
        <xdr:cNvSpPr txBox="1"/>
      </xdr:nvSpPr>
      <xdr:spPr>
        <a:xfrm>
          <a:off x="133350" y="1743075"/>
          <a:ext cx="5750677" cy="264560"/>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pPr marL="0" indent="0"/>
          <a:r>
            <a:rPr lang="sv-SE" sz="1100">
              <a:solidFill>
                <a:schemeClr val="dk1"/>
              </a:solidFill>
              <a:effectLst/>
              <a:latin typeface="+mn-lt"/>
              <a:ea typeface="+mn-ea"/>
              <a:cs typeface="+mn-cs"/>
            </a:rPr>
            <a:t>Om reduktion för bilpool inte ska användas, sätts procentsatserna i de orange rutorna ovan till 0%</a:t>
          </a:r>
        </a:p>
      </xdr:txBody>
    </xdr:sp>
    <xdr:clientData/>
  </xdr:oneCellAnchor>
  <xdr:oneCellAnchor>
    <xdr:from>
      <xdr:col>5</xdr:col>
      <xdr:colOff>0</xdr:colOff>
      <xdr:row>55</xdr:row>
      <xdr:rowOff>180975</xdr:rowOff>
    </xdr:from>
    <xdr:ext cx="6172200" cy="609013"/>
    <xdr:sp macro="" textlink="">
      <xdr:nvSpPr>
        <xdr:cNvPr id="4" name="textruta 3">
          <a:extLst>
            <a:ext uri="{FF2B5EF4-FFF2-40B4-BE49-F238E27FC236}">
              <a16:creationId xmlns:a16="http://schemas.microsoft.com/office/drawing/2014/main" id="{00000000-0008-0000-0600-000004000000}"/>
            </a:ext>
          </a:extLst>
        </xdr:cNvPr>
        <xdr:cNvSpPr txBox="1"/>
      </xdr:nvSpPr>
      <xdr:spPr>
        <a:xfrm>
          <a:off x="6467475" y="10868025"/>
          <a:ext cx="6172200" cy="609013"/>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r>
            <a:rPr lang="sv-SE" sz="1100">
              <a:solidFill>
                <a:schemeClr val="dk1"/>
              </a:solidFill>
              <a:effectLst/>
              <a:latin typeface="+mn-lt"/>
              <a:ea typeface="+mn-ea"/>
              <a:cs typeface="+mn-cs"/>
            </a:rPr>
            <a:t>Reduktion</a:t>
          </a:r>
          <a:r>
            <a:rPr lang="sv-SE" sz="1100" baseline="0">
              <a:solidFill>
                <a:schemeClr val="dk1"/>
              </a:solidFill>
              <a:effectLst/>
              <a:latin typeface="+mn-lt"/>
              <a:ea typeface="+mn-ea"/>
              <a:cs typeface="+mn-cs"/>
            </a:rPr>
            <a:t> för hotell och restauranger medges inte i detta verktyg, eftersom merparten av parkeringsplatserna är avsedda för gäster som inte kan antas påverkas av förekomsten av en bilpool. Vill byggherren ha reduktion för dessa verksamheter krävs en särskild parkeringsutredning.</a:t>
          </a:r>
          <a:endParaRPr lang="sv-SE">
            <a:effectLst/>
          </a:endParaRPr>
        </a:p>
      </xdr:txBody>
    </xdr:sp>
    <xdr:clientData/>
  </xdr:oneCellAnchor>
  <xdr:twoCellAnchor editAs="oneCell">
    <xdr:from>
      <xdr:col>0</xdr:col>
      <xdr:colOff>0</xdr:colOff>
      <xdr:row>0</xdr:row>
      <xdr:rowOff>22860</xdr:rowOff>
    </xdr:from>
    <xdr:to>
      <xdr:col>0</xdr:col>
      <xdr:colOff>815340</xdr:colOff>
      <xdr:row>3</xdr:row>
      <xdr:rowOff>30480</xdr:rowOff>
    </xdr:to>
    <xdr:pic>
      <xdr:nvPicPr>
        <xdr:cNvPr id="5" name="Bild 55" descr="nytt stadsvapen för A4">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860"/>
          <a:ext cx="815340" cy="556260"/>
        </a:xfrm>
        <a:prstGeom prst="rect">
          <a:avLst/>
        </a:prstGeom>
        <a:noFill/>
      </xdr:spPr>
    </xdr:pic>
    <xdr:clientData/>
  </xdr:twoCellAnchor>
  <xdr:oneCellAnchor>
    <xdr:from>
      <xdr:col>8</xdr:col>
      <xdr:colOff>9525</xdr:colOff>
      <xdr:row>38</xdr:row>
      <xdr:rowOff>171450</xdr:rowOff>
    </xdr:from>
    <xdr:ext cx="6172200" cy="264560"/>
    <xdr:sp macro="" textlink="">
      <xdr:nvSpPr>
        <xdr:cNvPr id="6" name="textruta 5">
          <a:extLst>
            <a:ext uri="{FF2B5EF4-FFF2-40B4-BE49-F238E27FC236}">
              <a16:creationId xmlns:a16="http://schemas.microsoft.com/office/drawing/2014/main" id="{00000000-0008-0000-0600-000006000000}"/>
            </a:ext>
          </a:extLst>
        </xdr:cNvPr>
        <xdr:cNvSpPr txBox="1"/>
      </xdr:nvSpPr>
      <xdr:spPr>
        <a:xfrm>
          <a:off x="7639050" y="8172450"/>
          <a:ext cx="6172200" cy="264560"/>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pPr marL="0" indent="0"/>
          <a:r>
            <a:rPr lang="sv-SE" sz="1100">
              <a:solidFill>
                <a:schemeClr val="dk1"/>
              </a:solidFill>
              <a:effectLst/>
              <a:latin typeface="+mn-lt"/>
              <a:ea typeface="+mn-ea"/>
              <a:cs typeface="+mn-cs"/>
            </a:rPr>
            <a:t>Reduktionen för bilpool utgår från hela bilplatser, dvs  grundtalen har avrundats uppåt till närmsta heltal</a:t>
          </a: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0</xdr:col>
      <xdr:colOff>152401</xdr:colOff>
      <xdr:row>31</xdr:row>
      <xdr:rowOff>171451</xdr:rowOff>
    </xdr:from>
    <xdr:ext cx="4314824" cy="609013"/>
    <xdr:sp macro="" textlink="">
      <xdr:nvSpPr>
        <xdr:cNvPr id="2" name="textruta 1">
          <a:extLst>
            <a:ext uri="{FF2B5EF4-FFF2-40B4-BE49-F238E27FC236}">
              <a16:creationId xmlns:a16="http://schemas.microsoft.com/office/drawing/2014/main" id="{00000000-0008-0000-0700-000002000000}"/>
            </a:ext>
          </a:extLst>
        </xdr:cNvPr>
        <xdr:cNvSpPr txBox="1"/>
      </xdr:nvSpPr>
      <xdr:spPr>
        <a:xfrm>
          <a:off x="152401" y="5238751"/>
          <a:ext cx="4314824" cy="609013"/>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r>
            <a:rPr lang="sv-SE" sz="1100">
              <a:solidFill>
                <a:schemeClr val="dk1"/>
              </a:solidFill>
              <a:effectLst/>
              <a:latin typeface="+mn-lt"/>
              <a:ea typeface="+mn-ea"/>
              <a:cs typeface="+mn-cs"/>
            </a:rPr>
            <a:t>För studentbostäder medges ingen reduktion, parkeringstalen för bil är redan mycket låga. För villor och radhus med parkering på tomten medges ingen reduktion enligt detta verktyg. </a:t>
          </a:r>
          <a:endParaRPr lang="sv-SE">
            <a:effectLst/>
          </a:endParaRPr>
        </a:p>
      </xdr:txBody>
    </xdr:sp>
    <xdr:clientData/>
  </xdr:oneCellAnchor>
  <xdr:oneCellAnchor>
    <xdr:from>
      <xdr:col>0</xdr:col>
      <xdr:colOff>142876</xdr:colOff>
      <xdr:row>11</xdr:row>
      <xdr:rowOff>85725</xdr:rowOff>
    </xdr:from>
    <xdr:ext cx="6172200" cy="609013"/>
    <xdr:sp macro="" textlink="">
      <xdr:nvSpPr>
        <xdr:cNvPr id="3" name="textruta 2">
          <a:extLst>
            <a:ext uri="{FF2B5EF4-FFF2-40B4-BE49-F238E27FC236}">
              <a16:creationId xmlns:a16="http://schemas.microsoft.com/office/drawing/2014/main" id="{00000000-0008-0000-0700-000003000000}"/>
            </a:ext>
          </a:extLst>
        </xdr:cNvPr>
        <xdr:cNvSpPr txBox="1"/>
      </xdr:nvSpPr>
      <xdr:spPr>
        <a:xfrm>
          <a:off x="142876" y="1676400"/>
          <a:ext cx="6172200" cy="609013"/>
        </a:xfrm>
        <a:prstGeom prst="rect">
          <a:avLst/>
        </a:prstGeom>
        <a:solidFill>
          <a:sysClr val="window" lastClr="FFFFFF"/>
        </a:solidFill>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pPr marL="0" indent="0"/>
          <a:r>
            <a:rPr lang="sv-SE" sz="1100">
              <a:solidFill>
                <a:schemeClr val="dk1"/>
              </a:solidFill>
              <a:effectLst/>
              <a:latin typeface="+mn-lt"/>
              <a:ea typeface="+mn-ea"/>
              <a:cs typeface="+mn-cs"/>
            </a:rPr>
            <a:t>Procentsatserna</a:t>
          </a:r>
          <a:r>
            <a:rPr lang="sv-SE" sz="1100" baseline="0">
              <a:solidFill>
                <a:schemeClr val="dk1"/>
              </a:solidFill>
              <a:effectLst/>
              <a:latin typeface="+mn-lt"/>
              <a:ea typeface="+mn-ea"/>
              <a:cs typeface="+mn-cs"/>
            </a:rPr>
            <a:t> sätts inom intervallet </a:t>
          </a:r>
          <a:r>
            <a:rPr lang="sv-SE" sz="1100">
              <a:solidFill>
                <a:schemeClr val="dk1"/>
              </a:solidFill>
              <a:effectLst/>
              <a:latin typeface="+mn-lt"/>
              <a:ea typeface="+mn-ea"/>
              <a:cs typeface="+mn-cs"/>
            </a:rPr>
            <a:t>0-10 %. För maximal reduktion (10 %) ska minst fem MM-åtgärder genomföras. Se</a:t>
          </a:r>
          <a:r>
            <a:rPr lang="sv-SE" sz="1100" baseline="0">
              <a:solidFill>
                <a:schemeClr val="dk1"/>
              </a:solidFill>
              <a:effectLst/>
              <a:latin typeface="+mn-lt"/>
              <a:ea typeface="+mn-ea"/>
              <a:cs typeface="+mn-cs"/>
            </a:rPr>
            <a:t> exempel på MM-åtgärder i dokumentet Parkeringsriktlinjer.</a:t>
          </a:r>
          <a:endParaRPr lang="sv-SE" sz="1100">
            <a:solidFill>
              <a:schemeClr val="dk1"/>
            </a:solidFill>
            <a:effectLst/>
            <a:latin typeface="+mn-lt"/>
            <a:ea typeface="+mn-ea"/>
            <a:cs typeface="+mn-cs"/>
          </a:endParaRPr>
        </a:p>
        <a:p>
          <a:pPr marL="0" indent="0"/>
          <a:r>
            <a:rPr lang="sv-SE" sz="1100">
              <a:solidFill>
                <a:schemeClr val="dk1"/>
              </a:solidFill>
              <a:effectLst/>
              <a:latin typeface="+mn-lt"/>
              <a:ea typeface="+mn-ea"/>
              <a:cs typeface="+mn-cs"/>
            </a:rPr>
            <a:t>Om reduktion för MM-åtgärder inte ska användas, sätts procensatserna i de orange rutorna ovan till 0%</a:t>
          </a:r>
        </a:p>
      </xdr:txBody>
    </xdr:sp>
    <xdr:clientData/>
  </xdr:oneCellAnchor>
  <xdr:oneCellAnchor>
    <xdr:from>
      <xdr:col>4</xdr:col>
      <xdr:colOff>209549</xdr:colOff>
      <xdr:row>56</xdr:row>
      <xdr:rowOff>171450</xdr:rowOff>
    </xdr:from>
    <xdr:ext cx="5514975" cy="609013"/>
    <xdr:sp macro="" textlink="">
      <xdr:nvSpPr>
        <xdr:cNvPr id="4" name="textruta 3">
          <a:extLst>
            <a:ext uri="{FF2B5EF4-FFF2-40B4-BE49-F238E27FC236}">
              <a16:creationId xmlns:a16="http://schemas.microsoft.com/office/drawing/2014/main" id="{00000000-0008-0000-0700-000004000000}"/>
            </a:ext>
          </a:extLst>
        </xdr:cNvPr>
        <xdr:cNvSpPr txBox="1"/>
      </xdr:nvSpPr>
      <xdr:spPr>
        <a:xfrm>
          <a:off x="6067424" y="11049000"/>
          <a:ext cx="5514975" cy="609013"/>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r>
            <a:rPr lang="sv-SE" sz="1100">
              <a:solidFill>
                <a:schemeClr val="dk1"/>
              </a:solidFill>
              <a:effectLst/>
              <a:latin typeface="+mn-lt"/>
              <a:ea typeface="+mn-ea"/>
              <a:cs typeface="+mn-cs"/>
            </a:rPr>
            <a:t>Reduktion</a:t>
          </a:r>
          <a:r>
            <a:rPr lang="sv-SE" sz="1100" baseline="0">
              <a:solidFill>
                <a:schemeClr val="dk1"/>
              </a:solidFill>
              <a:effectLst/>
              <a:latin typeface="+mn-lt"/>
              <a:ea typeface="+mn-ea"/>
              <a:cs typeface="+mn-cs"/>
            </a:rPr>
            <a:t> för hotell och restauranger medges inte, eftersom merparten av parkeringsplatserna är avsedda för gäster som inte kan antas påverkas av MM-åtgärder. Vill byggherren ha reduktion för dessa verksamheter krävs en särskild parkeringsutredning.</a:t>
          </a:r>
          <a:endParaRPr lang="sv-SE">
            <a:effectLst/>
          </a:endParaRPr>
        </a:p>
      </xdr:txBody>
    </xdr:sp>
    <xdr:clientData/>
  </xdr:oneCellAnchor>
  <xdr:twoCellAnchor editAs="oneCell">
    <xdr:from>
      <xdr:col>0</xdr:col>
      <xdr:colOff>0</xdr:colOff>
      <xdr:row>0</xdr:row>
      <xdr:rowOff>22860</xdr:rowOff>
    </xdr:from>
    <xdr:to>
      <xdr:col>0</xdr:col>
      <xdr:colOff>815340</xdr:colOff>
      <xdr:row>3</xdr:row>
      <xdr:rowOff>30480</xdr:rowOff>
    </xdr:to>
    <xdr:pic>
      <xdr:nvPicPr>
        <xdr:cNvPr id="5" name="Bild 55" descr="nytt stadsvapen för A4">
          <a:extLst>
            <a:ext uri="{FF2B5EF4-FFF2-40B4-BE49-F238E27FC236}">
              <a16:creationId xmlns:a16="http://schemas.microsoft.com/office/drawing/2014/main" id="{00000000-0008-0000-07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860"/>
          <a:ext cx="815340" cy="55626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142874</xdr:colOff>
      <xdr:row>10</xdr:row>
      <xdr:rowOff>865</xdr:rowOff>
    </xdr:from>
    <xdr:ext cx="6860599" cy="629516"/>
    <xdr:sp macro="" textlink="">
      <xdr:nvSpPr>
        <xdr:cNvPr id="2" name="textruta 1">
          <a:extLst>
            <a:ext uri="{FF2B5EF4-FFF2-40B4-BE49-F238E27FC236}">
              <a16:creationId xmlns:a16="http://schemas.microsoft.com/office/drawing/2014/main" id="{0C4638D0-00A9-40B5-9AE0-1DC004462E37}"/>
            </a:ext>
          </a:extLst>
        </xdr:cNvPr>
        <xdr:cNvSpPr txBox="1"/>
      </xdr:nvSpPr>
      <xdr:spPr>
        <a:xfrm>
          <a:off x="142874" y="1843520"/>
          <a:ext cx="6860599" cy="629516"/>
        </a:xfrm>
        <a:prstGeom prst="rect">
          <a:avLst/>
        </a:prstGeom>
        <a:noFill/>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sv-SE" sz="1100">
              <a:solidFill>
                <a:schemeClr val="dk1"/>
              </a:solidFill>
              <a:effectLst/>
              <a:latin typeface="+mn-lt"/>
              <a:ea typeface="+mn-ea"/>
              <a:cs typeface="+mn-cs"/>
            </a:rPr>
            <a:t>I</a:t>
          </a:r>
          <a:r>
            <a:rPr lang="sv-SE" sz="1100" baseline="0">
              <a:solidFill>
                <a:schemeClr val="dk1"/>
              </a:solidFill>
              <a:effectLst/>
              <a:latin typeface="+mn-lt"/>
              <a:ea typeface="+mn-ea"/>
              <a:cs typeface="+mn-cs"/>
            </a:rPr>
            <a:t> Kopparlunden beräknas r</a:t>
          </a:r>
          <a:r>
            <a:rPr lang="sv-SE" sz="1100">
              <a:solidFill>
                <a:schemeClr val="dk1"/>
              </a:solidFill>
              <a:effectLst/>
              <a:latin typeface="+mn-lt"/>
              <a:ea typeface="+mn-ea"/>
              <a:cs typeface="+mn-cs"/>
            </a:rPr>
            <a:t>eduktion för samnyttjande</a:t>
          </a:r>
          <a:r>
            <a:rPr lang="sv-SE" sz="1100" baseline="0">
              <a:solidFill>
                <a:schemeClr val="dk1"/>
              </a:solidFill>
              <a:effectLst/>
              <a:latin typeface="+mn-lt"/>
              <a:ea typeface="+mn-ea"/>
              <a:cs typeface="+mn-cs"/>
            </a:rPr>
            <a:t> för alla typer av verksamheter. Samnyttjandet är således oberoende av om det byggs en eller fler än en typ av verksamhet inom en fastighet - det räknas alltid ut för att ge den överrenskomna effekten på parkeringstalet för Kopparlunden.</a:t>
          </a:r>
        </a:p>
        <a:p>
          <a:pPr marL="0" indent="0"/>
          <a:endParaRPr lang="sv-SE" sz="1100" baseline="0">
            <a:solidFill>
              <a:schemeClr val="dk1"/>
            </a:solidFill>
            <a:effectLst/>
            <a:latin typeface="+mn-lt"/>
            <a:ea typeface="+mn-ea"/>
            <a:cs typeface="+mn-cs"/>
          </a:endParaRPr>
        </a:p>
      </xdr:txBody>
    </xdr:sp>
    <xdr:clientData/>
  </xdr:oneCellAnchor>
  <xdr:oneCellAnchor>
    <xdr:from>
      <xdr:col>6</xdr:col>
      <xdr:colOff>109104</xdr:colOff>
      <xdr:row>14</xdr:row>
      <xdr:rowOff>134216</xdr:rowOff>
    </xdr:from>
    <xdr:ext cx="6172200" cy="2159053"/>
    <xdr:sp macro="" textlink="">
      <xdr:nvSpPr>
        <xdr:cNvPr id="3" name="textruta 2">
          <a:extLst>
            <a:ext uri="{FF2B5EF4-FFF2-40B4-BE49-F238E27FC236}">
              <a16:creationId xmlns:a16="http://schemas.microsoft.com/office/drawing/2014/main" id="{EF531EB7-E103-4B78-9334-3853F130B30E}"/>
            </a:ext>
          </a:extLst>
        </xdr:cNvPr>
        <xdr:cNvSpPr txBox="1"/>
      </xdr:nvSpPr>
      <xdr:spPr>
        <a:xfrm>
          <a:off x="6489122" y="2697307"/>
          <a:ext cx="6172200" cy="2159053"/>
        </a:xfrm>
        <a:prstGeom prst="rect">
          <a:avLst/>
        </a:prstGeom>
        <a:noFill/>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pPr marL="0" indent="0"/>
          <a:r>
            <a:rPr lang="sv-SE" sz="1100">
              <a:solidFill>
                <a:schemeClr val="dk1"/>
              </a:solidFill>
              <a:effectLst/>
              <a:latin typeface="+mn-lt"/>
              <a:ea typeface="+mn-ea"/>
              <a:cs typeface="+mn-cs"/>
            </a:rPr>
            <a:t>Potentialen för samnyttjande beräknas för fyra olika</a:t>
          </a:r>
          <a:r>
            <a:rPr lang="sv-SE" sz="1100" baseline="0">
              <a:solidFill>
                <a:schemeClr val="dk1"/>
              </a:solidFill>
              <a:effectLst/>
              <a:latin typeface="+mn-lt"/>
              <a:ea typeface="+mn-ea"/>
              <a:cs typeface="+mn-cs"/>
            </a:rPr>
            <a:t> tidsintervall. Den tid på veckan/dygnet när den totala parkeringsefterfrågan är som högst, blir dimensionerande. I Kopparlunden är det vardagar kl. 10-16 som är dimensionerande.</a:t>
          </a:r>
        </a:p>
        <a:p>
          <a:pPr marL="0" indent="0"/>
          <a:endParaRPr lang="sv-SE" sz="1100" baseline="0">
            <a:solidFill>
              <a:schemeClr val="dk1"/>
            </a:solidFill>
            <a:effectLst/>
            <a:latin typeface="+mn-lt"/>
            <a:ea typeface="+mn-ea"/>
            <a:cs typeface="+mn-cs"/>
          </a:endParaRPr>
        </a:p>
        <a:p>
          <a:pPr marL="0" indent="0"/>
          <a:r>
            <a:rPr lang="sv-SE" sz="1100" b="1" baseline="0">
              <a:solidFill>
                <a:schemeClr val="dk1"/>
              </a:solidFill>
              <a:effectLst/>
              <a:latin typeface="+mn-lt"/>
              <a:ea typeface="+mn-ea"/>
              <a:cs typeface="+mn-cs"/>
            </a:rPr>
            <a:t>Förutsättningar för att samnyttjandet ska fungera är:</a:t>
          </a:r>
        </a:p>
        <a:p>
          <a:pPr marL="0" indent="0"/>
          <a:r>
            <a:rPr lang="sv-SE" sz="1100" baseline="0">
              <a:solidFill>
                <a:schemeClr val="dk1"/>
              </a:solidFill>
              <a:effectLst/>
              <a:latin typeface="+mn-lt"/>
              <a:ea typeface="+mn-ea"/>
              <a:cs typeface="+mn-cs"/>
            </a:rPr>
            <a:t>¤ att bilplatserna inte är reserverade för något särskilt fordon eller någon användargrupp</a:t>
          </a:r>
        </a:p>
        <a:p>
          <a:pPr marL="0" indent="0"/>
          <a:r>
            <a:rPr lang="sv-SE" sz="1100" baseline="0">
              <a:solidFill>
                <a:schemeClr val="dk1"/>
              </a:solidFill>
              <a:effectLst/>
              <a:latin typeface="+mn-lt"/>
              <a:ea typeface="+mn-ea"/>
              <a:cs typeface="+mn-cs"/>
            </a:rPr>
            <a:t>¤ att stadens policy för gångavstånd används</a:t>
          </a:r>
        </a:p>
        <a:p>
          <a:pPr marL="0" indent="0"/>
          <a:r>
            <a:rPr lang="sv-SE" sz="1100" baseline="0">
              <a:solidFill>
                <a:schemeClr val="dk1"/>
              </a:solidFill>
              <a:effectLst/>
              <a:latin typeface="+mn-lt"/>
              <a:ea typeface="+mn-ea"/>
              <a:cs typeface="+mn-cs"/>
            </a:rPr>
            <a:t>¤ att samnyttjandet är varaktigt bestående</a:t>
          </a:r>
        </a:p>
        <a:p>
          <a:pPr marL="0" indent="0"/>
          <a:endParaRPr lang="sv-SE" sz="1100" baseline="0">
            <a:solidFill>
              <a:schemeClr val="dk1"/>
            </a:solidFill>
            <a:effectLst/>
            <a:latin typeface="+mn-lt"/>
            <a:ea typeface="+mn-ea"/>
            <a:cs typeface="+mn-cs"/>
          </a:endParaRPr>
        </a:p>
        <a:p>
          <a:pPr marL="0" indent="0"/>
          <a:r>
            <a:rPr lang="sv-SE" sz="1100" baseline="0">
              <a:solidFill>
                <a:schemeClr val="dk1"/>
              </a:solidFill>
              <a:effectLst/>
              <a:latin typeface="+mn-lt"/>
              <a:ea typeface="+mn-ea"/>
              <a:cs typeface="+mn-cs"/>
            </a:rPr>
            <a:t>Om fastighetsägaren önskar reservera platser för verksamma/boende/besökare kan reduktion för samnyttjande alltså inte tillämpas. Undantaget är platser som reserveras för bilpoolsbilar, vilket uträkningen tar hänsyn till.</a:t>
          </a:r>
        </a:p>
      </xdr:txBody>
    </xdr:sp>
    <xdr:clientData/>
  </xdr:oneCellAnchor>
  <xdr:oneCellAnchor>
    <xdr:from>
      <xdr:col>7</xdr:col>
      <xdr:colOff>438150</xdr:colOff>
      <xdr:row>34</xdr:row>
      <xdr:rowOff>19049</xdr:rowOff>
    </xdr:from>
    <xdr:ext cx="4432013" cy="1125693"/>
    <xdr:sp macro="" textlink="">
      <xdr:nvSpPr>
        <xdr:cNvPr id="4" name="textruta 3">
          <a:extLst>
            <a:ext uri="{FF2B5EF4-FFF2-40B4-BE49-F238E27FC236}">
              <a16:creationId xmlns:a16="http://schemas.microsoft.com/office/drawing/2014/main" id="{3ECD6F38-1E07-4FD4-8EC2-EB80BD9A6F47}"/>
            </a:ext>
          </a:extLst>
        </xdr:cNvPr>
        <xdr:cNvSpPr txBox="1"/>
      </xdr:nvSpPr>
      <xdr:spPr>
        <a:xfrm>
          <a:off x="7334250" y="6762749"/>
          <a:ext cx="4432013" cy="1125693"/>
        </a:xfrm>
        <a:prstGeom prst="rect">
          <a:avLst/>
        </a:prstGeom>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spAutoFit/>
        </a:bodyPr>
        <a:lstStyle/>
        <a:p>
          <a:r>
            <a:rPr lang="sv-SE" sz="1100"/>
            <a:t>Eftersom platserna ska samnyttjas, och därmed inte får reserveras för någon typ av användare, är det inte längre relevant att skilja på parkeringsefterfrågan för bostäder, olika typer av verksamheter samt besökande. Därför presenteras</a:t>
          </a:r>
          <a:r>
            <a:rPr lang="sv-SE" sz="1100" baseline="0"/>
            <a:t> endast den totala parkeringsefterfrågan för alla platser som ska samnyttjas. Observera att bilpoolsplatser inte kan samnyttjas. </a:t>
          </a:r>
          <a:endParaRPr lang="sv-SE" sz="1100"/>
        </a:p>
      </xdr:txBody>
    </xdr:sp>
    <xdr:clientData/>
  </xdr:oneCellAnchor>
  <xdr:twoCellAnchor>
    <xdr:from>
      <xdr:col>4</xdr:col>
      <xdr:colOff>371475</xdr:colOff>
      <xdr:row>33</xdr:row>
      <xdr:rowOff>76200</xdr:rowOff>
    </xdr:from>
    <xdr:to>
      <xdr:col>7</xdr:col>
      <xdr:colOff>438150</xdr:colOff>
      <xdr:row>35</xdr:row>
      <xdr:rowOff>85819</xdr:rowOff>
    </xdr:to>
    <xdr:grpSp>
      <xdr:nvGrpSpPr>
        <xdr:cNvPr id="5" name="Grupp 4">
          <a:extLst>
            <a:ext uri="{FF2B5EF4-FFF2-40B4-BE49-F238E27FC236}">
              <a16:creationId xmlns:a16="http://schemas.microsoft.com/office/drawing/2014/main" id="{2D55E787-AA74-4B6E-83D1-363F69170FCB}"/>
            </a:ext>
          </a:extLst>
        </xdr:cNvPr>
        <xdr:cNvGrpSpPr/>
      </xdr:nvGrpSpPr>
      <xdr:grpSpPr>
        <a:xfrm>
          <a:off x="5595793" y="6068291"/>
          <a:ext cx="1902402" cy="379073"/>
          <a:chOff x="5143500" y="5867400"/>
          <a:chExt cx="1895475" cy="581119"/>
        </a:xfrm>
      </xdr:grpSpPr>
      <xdr:cxnSp macro="">
        <xdr:nvCxnSpPr>
          <xdr:cNvPr id="6" name="Vinklad  5">
            <a:extLst>
              <a:ext uri="{FF2B5EF4-FFF2-40B4-BE49-F238E27FC236}">
                <a16:creationId xmlns:a16="http://schemas.microsoft.com/office/drawing/2014/main" id="{F7C530FB-631B-41B2-B8A5-28A46779B3FB}"/>
              </a:ext>
            </a:extLst>
          </xdr:cNvPr>
          <xdr:cNvCxnSpPr/>
        </xdr:nvCxnSpPr>
        <xdr:spPr>
          <a:xfrm>
            <a:off x="5143500" y="5867400"/>
            <a:ext cx="1895475" cy="581119"/>
          </a:xfrm>
          <a:prstGeom prst="bentConnector3">
            <a:avLst>
              <a:gd name="adj1" fmla="val 85678"/>
            </a:avLst>
          </a:prstGeom>
          <a:ln w="25400">
            <a:tailEnd type="arrow"/>
          </a:ln>
        </xdr:spPr>
        <xdr:style>
          <a:lnRef idx="1">
            <a:schemeClr val="accent3"/>
          </a:lnRef>
          <a:fillRef idx="0">
            <a:schemeClr val="accent3"/>
          </a:fillRef>
          <a:effectRef idx="0">
            <a:schemeClr val="accent3"/>
          </a:effectRef>
          <a:fontRef idx="minor">
            <a:schemeClr val="tx1"/>
          </a:fontRef>
        </xdr:style>
      </xdr:cxnSp>
      <xdr:cxnSp macro="">
        <xdr:nvCxnSpPr>
          <xdr:cNvPr id="7" name="Rak 11">
            <a:extLst>
              <a:ext uri="{FF2B5EF4-FFF2-40B4-BE49-F238E27FC236}">
                <a16:creationId xmlns:a16="http://schemas.microsoft.com/office/drawing/2014/main" id="{FD46983E-B6BF-441C-AF4E-31D350A5B03B}"/>
              </a:ext>
            </a:extLst>
          </xdr:cNvPr>
          <xdr:cNvCxnSpPr/>
        </xdr:nvCxnSpPr>
        <xdr:spPr>
          <a:xfrm>
            <a:off x="5153025" y="5876925"/>
            <a:ext cx="0" cy="104775"/>
          </a:xfrm>
          <a:prstGeom prst="line">
            <a:avLst/>
          </a:prstGeom>
          <a:ln w="25400"/>
        </xdr:spPr>
        <xdr:style>
          <a:lnRef idx="1">
            <a:schemeClr val="accent3"/>
          </a:lnRef>
          <a:fillRef idx="0">
            <a:schemeClr val="accent3"/>
          </a:fillRef>
          <a:effectRef idx="0">
            <a:schemeClr val="accent3"/>
          </a:effectRef>
          <a:fontRef idx="minor">
            <a:schemeClr val="tx1"/>
          </a:fontRef>
        </xdr:style>
      </xdr:cxnSp>
    </xdr:grpSp>
    <xdr:clientData/>
  </xdr:twoCellAnchor>
  <xdr:twoCellAnchor editAs="oneCell">
    <xdr:from>
      <xdr:col>0</xdr:col>
      <xdr:colOff>0</xdr:colOff>
      <xdr:row>0</xdr:row>
      <xdr:rowOff>22860</xdr:rowOff>
    </xdr:from>
    <xdr:to>
      <xdr:col>0</xdr:col>
      <xdr:colOff>815340</xdr:colOff>
      <xdr:row>3</xdr:row>
      <xdr:rowOff>30480</xdr:rowOff>
    </xdr:to>
    <xdr:pic>
      <xdr:nvPicPr>
        <xdr:cNvPr id="8" name="Bild 55" descr="nytt stadsvapen för A4">
          <a:extLst>
            <a:ext uri="{FF2B5EF4-FFF2-40B4-BE49-F238E27FC236}">
              <a16:creationId xmlns:a16="http://schemas.microsoft.com/office/drawing/2014/main" id="{1C682397-CBCE-47DF-B3DB-F276158B331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860"/>
          <a:ext cx="815340" cy="579120"/>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22860</xdr:rowOff>
    </xdr:from>
    <xdr:to>
      <xdr:col>0</xdr:col>
      <xdr:colOff>815340</xdr:colOff>
      <xdr:row>3</xdr:row>
      <xdr:rowOff>30480</xdr:rowOff>
    </xdr:to>
    <xdr:pic>
      <xdr:nvPicPr>
        <xdr:cNvPr id="3" name="Bild 55" descr="nytt stadsvapen för A4">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860"/>
          <a:ext cx="815340" cy="556260"/>
        </a:xfrm>
        <a:prstGeom prst="rect">
          <a:avLst/>
        </a:prstGeom>
        <a:noFill/>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62BA3-F56A-4B57-AE77-974520E9082A}">
  <dimension ref="A1"/>
  <sheetViews>
    <sheetView workbookViewId="0">
      <selection activeCell="B30" sqref="B30"/>
    </sheetView>
  </sheetViews>
  <sheetFormatPr defaultRowHeight="14.5" x14ac:dyDescent="0.35"/>
  <sheetData/>
  <sheetProtection algorithmName="SHA-512" hashValue="Z72MUkZcixx0vmunbjpj+Yi9jjIBCUav89r3LlwhKGE62pNP9NDa0xlq5O/V3XEb9cFwLYvXgLoTeyAXo0r1pg==" saltValue="hc4kx1iFH4FSVvGhongZHA==" spinCount="100000"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4:F42"/>
  <sheetViews>
    <sheetView workbookViewId="0">
      <selection activeCell="A4" sqref="A4"/>
    </sheetView>
  </sheetViews>
  <sheetFormatPr defaultRowHeight="14.5" x14ac:dyDescent="0.35"/>
  <cols>
    <col min="1" max="1" width="67.54296875" customWidth="1"/>
  </cols>
  <sheetData>
    <row r="4" spans="1:6" ht="15.5" x14ac:dyDescent="0.35">
      <c r="A4" s="23" t="s">
        <v>110</v>
      </c>
    </row>
    <row r="5" spans="1:6" ht="15" thickBot="1" x14ac:dyDescent="0.4"/>
    <row r="6" spans="1:6" ht="18" thickBot="1" x14ac:dyDescent="0.4">
      <c r="A6" s="1" t="s">
        <v>0</v>
      </c>
      <c r="B6" s="2" t="s">
        <v>1</v>
      </c>
      <c r="C6" s="2" t="s">
        <v>2</v>
      </c>
      <c r="D6" s="2" t="s">
        <v>3</v>
      </c>
      <c r="E6" s="2" t="s">
        <v>4</v>
      </c>
      <c r="F6" s="3" t="s">
        <v>5</v>
      </c>
    </row>
    <row r="7" spans="1:6" ht="15" thickBot="1" x14ac:dyDescent="0.4">
      <c r="A7" s="4" t="s">
        <v>6</v>
      </c>
      <c r="B7" s="5">
        <v>7</v>
      </c>
      <c r="C7" s="5">
        <v>9</v>
      </c>
      <c r="D7" s="5">
        <v>8</v>
      </c>
      <c r="E7" s="5">
        <v>10</v>
      </c>
      <c r="F7" s="6">
        <v>13</v>
      </c>
    </row>
    <row r="8" spans="1:6" ht="15" thickBot="1" x14ac:dyDescent="0.4">
      <c r="A8" s="7" t="s">
        <v>7</v>
      </c>
      <c r="B8" s="8">
        <v>8</v>
      </c>
      <c r="C8" s="8">
        <v>10</v>
      </c>
      <c r="D8" s="8">
        <v>9</v>
      </c>
      <c r="E8" s="8">
        <v>11</v>
      </c>
      <c r="F8" s="9">
        <v>14</v>
      </c>
    </row>
    <row r="9" spans="1:6" ht="15" thickBot="1" x14ac:dyDescent="0.4">
      <c r="A9" s="4" t="s">
        <v>8</v>
      </c>
      <c r="B9" s="5">
        <v>0.53</v>
      </c>
      <c r="C9" s="5">
        <v>0.63</v>
      </c>
      <c r="D9" s="5">
        <v>0.55000000000000004</v>
      </c>
      <c r="E9" s="5">
        <v>0.68</v>
      </c>
      <c r="F9" s="6">
        <v>0.91</v>
      </c>
    </row>
    <row r="10" spans="1:6" ht="15" thickBot="1" x14ac:dyDescent="0.4">
      <c r="A10" s="10" t="s">
        <v>9</v>
      </c>
      <c r="B10" s="11">
        <v>0.23</v>
      </c>
      <c r="C10" s="11">
        <v>0.27</v>
      </c>
      <c r="D10" s="11">
        <v>0.24</v>
      </c>
      <c r="E10" s="11">
        <v>0.28999999999999998</v>
      </c>
      <c r="F10" s="12">
        <v>0.4</v>
      </c>
    </row>
    <row r="11" spans="1:6" ht="15" thickBot="1" x14ac:dyDescent="0.4">
      <c r="A11" s="13" t="s">
        <v>10</v>
      </c>
      <c r="B11" s="14">
        <v>0.46</v>
      </c>
      <c r="C11" s="14">
        <v>0.55000000000000004</v>
      </c>
      <c r="D11" s="14">
        <v>0.48</v>
      </c>
      <c r="E11" s="14">
        <v>0.59</v>
      </c>
      <c r="F11" s="15">
        <v>0.79</v>
      </c>
    </row>
    <row r="12" spans="1:6" ht="15" thickBot="1" x14ac:dyDescent="0.4">
      <c r="A12" s="10" t="s">
        <v>11</v>
      </c>
      <c r="B12" s="11">
        <v>0.69</v>
      </c>
      <c r="C12" s="11">
        <v>0.82</v>
      </c>
      <c r="D12" s="11">
        <v>0.72</v>
      </c>
      <c r="E12" s="11">
        <v>0.88</v>
      </c>
      <c r="F12" s="12">
        <v>1.19</v>
      </c>
    </row>
    <row r="13" spans="1:6" ht="15" thickBot="1" x14ac:dyDescent="0.4">
      <c r="A13" s="13" t="s">
        <v>12</v>
      </c>
      <c r="B13" s="14">
        <v>0.92</v>
      </c>
      <c r="C13" s="14">
        <v>1.1000000000000001</v>
      </c>
      <c r="D13" s="14">
        <v>0.96</v>
      </c>
      <c r="E13" s="14">
        <v>1.18</v>
      </c>
      <c r="F13" s="15">
        <v>1.59</v>
      </c>
    </row>
    <row r="14" spans="1:6" ht="15" thickBot="1" x14ac:dyDescent="0.4">
      <c r="A14" s="7" t="s">
        <v>13</v>
      </c>
      <c r="B14" s="8">
        <v>0.57999999999999996</v>
      </c>
      <c r="C14" s="8">
        <v>0.69</v>
      </c>
      <c r="D14" s="8">
        <v>0.61</v>
      </c>
      <c r="E14" s="8">
        <v>0.75</v>
      </c>
      <c r="F14" s="9">
        <v>1</v>
      </c>
    </row>
    <row r="15" spans="1:6" ht="15" thickBot="1" x14ac:dyDescent="0.4">
      <c r="A15" s="13" t="s">
        <v>14</v>
      </c>
      <c r="B15" s="14">
        <v>0.25</v>
      </c>
      <c r="C15" s="14">
        <v>0.3</v>
      </c>
      <c r="D15" s="14">
        <v>0.26</v>
      </c>
      <c r="E15" s="14">
        <v>0.32</v>
      </c>
      <c r="F15" s="15">
        <v>0.44</v>
      </c>
    </row>
    <row r="16" spans="1:6" ht="15" thickBot="1" x14ac:dyDescent="0.4">
      <c r="A16" s="10" t="s">
        <v>15</v>
      </c>
      <c r="B16" s="11">
        <v>0.51</v>
      </c>
      <c r="C16" s="11">
        <v>0.61</v>
      </c>
      <c r="D16" s="11">
        <v>0.53</v>
      </c>
      <c r="E16" s="11">
        <v>0.65</v>
      </c>
      <c r="F16" s="12">
        <v>0.87</v>
      </c>
    </row>
    <row r="17" spans="1:6" ht="15" thickBot="1" x14ac:dyDescent="0.4">
      <c r="A17" s="13" t="s">
        <v>16</v>
      </c>
      <c r="B17" s="14">
        <v>0.76</v>
      </c>
      <c r="C17" s="14">
        <v>0.9</v>
      </c>
      <c r="D17" s="14">
        <v>0.79</v>
      </c>
      <c r="E17" s="14">
        <v>0.97</v>
      </c>
      <c r="F17" s="15">
        <v>1.31</v>
      </c>
    </row>
    <row r="18" spans="1:6" ht="15" thickBot="1" x14ac:dyDescent="0.4">
      <c r="A18" s="10" t="s">
        <v>17</v>
      </c>
      <c r="B18" s="11">
        <v>1.01</v>
      </c>
      <c r="C18" s="11">
        <v>1.21</v>
      </c>
      <c r="D18" s="11">
        <v>1.06</v>
      </c>
      <c r="E18" s="11">
        <v>1.3</v>
      </c>
      <c r="F18" s="12">
        <v>1.75</v>
      </c>
    </row>
    <row r="19" spans="1:6" ht="15" thickBot="1" x14ac:dyDescent="0.4">
      <c r="A19" s="4" t="s">
        <v>18</v>
      </c>
      <c r="B19" s="5">
        <v>0.06</v>
      </c>
      <c r="C19" s="5">
        <v>0.08</v>
      </c>
      <c r="D19" s="5">
        <v>7.0000000000000007E-2</v>
      </c>
      <c r="E19" s="5">
        <v>0.08</v>
      </c>
      <c r="F19" s="6">
        <v>0.11</v>
      </c>
    </row>
    <row r="20" spans="1:6" ht="15" thickBot="1" x14ac:dyDescent="0.4">
      <c r="A20" s="7" t="s">
        <v>19</v>
      </c>
      <c r="B20" s="8">
        <v>0.08</v>
      </c>
      <c r="C20" s="8">
        <v>0.1</v>
      </c>
      <c r="D20" s="8">
        <v>0.09</v>
      </c>
      <c r="E20" s="8">
        <v>0.11</v>
      </c>
      <c r="F20" s="9">
        <v>0.14000000000000001</v>
      </c>
    </row>
    <row r="21" spans="1:6" ht="15" thickBot="1" x14ac:dyDescent="0.4">
      <c r="A21" s="4" t="s">
        <v>20</v>
      </c>
      <c r="B21" s="5">
        <v>3</v>
      </c>
      <c r="C21" s="5">
        <v>4</v>
      </c>
      <c r="D21" s="5">
        <v>3</v>
      </c>
      <c r="E21" s="5">
        <v>4</v>
      </c>
      <c r="F21" s="6">
        <v>5</v>
      </c>
    </row>
    <row r="22" spans="1:6" ht="15" thickBot="1" x14ac:dyDescent="0.4">
      <c r="A22" s="7" t="s">
        <v>21</v>
      </c>
      <c r="B22" s="8">
        <v>2</v>
      </c>
      <c r="C22" s="8">
        <v>2</v>
      </c>
      <c r="D22" s="8">
        <v>2</v>
      </c>
      <c r="E22" s="8">
        <v>2</v>
      </c>
      <c r="F22" s="9">
        <v>2</v>
      </c>
    </row>
    <row r="23" spans="1:6" ht="15" thickBot="1" x14ac:dyDescent="0.4">
      <c r="A23" s="4" t="s">
        <v>22</v>
      </c>
      <c r="B23" s="5">
        <v>1.5</v>
      </c>
      <c r="C23" s="5">
        <v>1.6</v>
      </c>
      <c r="D23" s="5">
        <v>1.5</v>
      </c>
      <c r="E23" s="5">
        <v>1.6</v>
      </c>
      <c r="F23" s="6">
        <v>1.8</v>
      </c>
    </row>
    <row r="24" spans="1:6" ht="15" thickBot="1" x14ac:dyDescent="0.4">
      <c r="A24" s="7" t="s">
        <v>23</v>
      </c>
      <c r="B24" s="8">
        <v>11</v>
      </c>
      <c r="C24" s="8">
        <v>16</v>
      </c>
      <c r="D24" s="8">
        <v>11</v>
      </c>
      <c r="E24" s="8">
        <v>17</v>
      </c>
      <c r="F24" s="9">
        <v>26</v>
      </c>
    </row>
    <row r="25" spans="1:6" ht="15" thickBot="1" x14ac:dyDescent="0.4">
      <c r="A25" s="4" t="s">
        <v>24</v>
      </c>
      <c r="B25" s="5">
        <v>12</v>
      </c>
      <c r="C25" s="5">
        <v>18</v>
      </c>
      <c r="D25" s="5">
        <v>13</v>
      </c>
      <c r="E25" s="5">
        <v>18</v>
      </c>
      <c r="F25" s="6">
        <v>28</v>
      </c>
    </row>
    <row r="26" spans="1:6" ht="15" thickBot="1" x14ac:dyDescent="0.4">
      <c r="A26" s="7" t="s">
        <v>25</v>
      </c>
      <c r="B26" s="8">
        <v>9</v>
      </c>
      <c r="C26" s="8">
        <v>14</v>
      </c>
      <c r="D26" s="8">
        <v>10</v>
      </c>
      <c r="E26" s="8">
        <v>14</v>
      </c>
      <c r="F26" s="9">
        <v>22</v>
      </c>
    </row>
    <row r="27" spans="1:6" ht="15" thickBot="1" x14ac:dyDescent="0.4">
      <c r="A27" s="4" t="s">
        <v>26</v>
      </c>
      <c r="B27" s="5">
        <v>10</v>
      </c>
      <c r="C27" s="5">
        <v>15</v>
      </c>
      <c r="D27" s="5">
        <v>11</v>
      </c>
      <c r="E27" s="5">
        <v>16</v>
      </c>
      <c r="F27" s="6">
        <v>24</v>
      </c>
    </row>
    <row r="28" spans="1:6" ht="15" thickBot="1" x14ac:dyDescent="0.4">
      <c r="A28" s="7" t="s">
        <v>27</v>
      </c>
      <c r="B28" s="8">
        <v>3</v>
      </c>
      <c r="C28" s="8">
        <v>5</v>
      </c>
      <c r="D28" s="8">
        <v>3</v>
      </c>
      <c r="E28" s="8">
        <v>5</v>
      </c>
      <c r="F28" s="9">
        <v>7</v>
      </c>
    </row>
    <row r="29" spans="1:6" ht="15" thickBot="1" x14ac:dyDescent="0.4">
      <c r="A29" s="4" t="s">
        <v>28</v>
      </c>
      <c r="B29" s="5">
        <v>6</v>
      </c>
      <c r="C29" s="5">
        <v>9</v>
      </c>
      <c r="D29" s="5">
        <v>6</v>
      </c>
      <c r="E29" s="5">
        <v>9</v>
      </c>
      <c r="F29" s="6">
        <v>13</v>
      </c>
    </row>
    <row r="30" spans="1:6" ht="15" thickBot="1" x14ac:dyDescent="0.4">
      <c r="A30" s="5" t="s">
        <v>263</v>
      </c>
      <c r="B30" s="5">
        <v>4</v>
      </c>
      <c r="C30" s="5">
        <v>6</v>
      </c>
      <c r="D30" s="5">
        <v>4</v>
      </c>
      <c r="E30" s="5">
        <v>6</v>
      </c>
      <c r="F30" s="6">
        <v>9</v>
      </c>
    </row>
    <row r="31" spans="1:6" ht="15" thickBot="1" x14ac:dyDescent="0.4">
      <c r="A31" s="7" t="s">
        <v>264</v>
      </c>
      <c r="B31" s="8">
        <v>20</v>
      </c>
      <c r="C31" s="8">
        <v>23</v>
      </c>
      <c r="D31" s="8">
        <v>21</v>
      </c>
      <c r="E31" s="8">
        <v>31</v>
      </c>
      <c r="F31" s="9">
        <v>46</v>
      </c>
    </row>
    <row r="32" spans="1:6" ht="15" thickBot="1" x14ac:dyDescent="0.4">
      <c r="A32" s="4" t="s">
        <v>265</v>
      </c>
      <c r="B32" s="5">
        <v>3</v>
      </c>
      <c r="C32" s="5">
        <v>5</v>
      </c>
      <c r="D32" s="5">
        <v>3</v>
      </c>
      <c r="E32" s="5">
        <v>5</v>
      </c>
      <c r="F32" s="6">
        <v>7</v>
      </c>
    </row>
    <row r="33" spans="1:6" ht="15" thickBot="1" x14ac:dyDescent="0.4">
      <c r="A33" s="5" t="s">
        <v>266</v>
      </c>
      <c r="B33" s="5">
        <v>15</v>
      </c>
      <c r="C33" s="5">
        <v>18</v>
      </c>
      <c r="D33" s="5">
        <v>16</v>
      </c>
      <c r="E33" s="5">
        <v>23</v>
      </c>
      <c r="F33" s="6">
        <v>35</v>
      </c>
    </row>
    <row r="34" spans="1:6" ht="15" thickBot="1" x14ac:dyDescent="0.4">
      <c r="A34" s="7" t="s">
        <v>30</v>
      </c>
      <c r="B34" s="8">
        <v>0.23</v>
      </c>
      <c r="C34" s="8">
        <v>0.34</v>
      </c>
      <c r="D34" s="8">
        <v>0.24</v>
      </c>
      <c r="E34" s="8">
        <v>0.35</v>
      </c>
      <c r="F34" s="9">
        <v>0.54</v>
      </c>
    </row>
    <row r="35" spans="1:6" ht="15" thickBot="1" x14ac:dyDescent="0.4">
      <c r="A35" s="4" t="s">
        <v>31</v>
      </c>
      <c r="B35" s="5">
        <v>10</v>
      </c>
      <c r="C35" s="5">
        <v>15</v>
      </c>
      <c r="D35" s="5">
        <v>11</v>
      </c>
      <c r="E35" s="5">
        <v>15</v>
      </c>
      <c r="F35" s="6">
        <v>24</v>
      </c>
    </row>
    <row r="36" spans="1:6" ht="15" thickBot="1" x14ac:dyDescent="0.4">
      <c r="A36" s="7" t="s">
        <v>32</v>
      </c>
      <c r="B36" s="8">
        <v>0.15</v>
      </c>
      <c r="C36" s="8">
        <v>0.23</v>
      </c>
      <c r="D36" s="8">
        <v>0.16</v>
      </c>
      <c r="E36" s="8">
        <v>0.23</v>
      </c>
      <c r="F36" s="9">
        <v>0.33</v>
      </c>
    </row>
    <row r="37" spans="1:6" ht="15" thickBot="1" x14ac:dyDescent="0.4">
      <c r="A37" s="4" t="s">
        <v>33</v>
      </c>
      <c r="B37" s="5">
        <v>24</v>
      </c>
      <c r="C37" s="5">
        <v>37</v>
      </c>
      <c r="D37" s="5">
        <v>25</v>
      </c>
      <c r="E37" s="5">
        <v>37</v>
      </c>
      <c r="F37" s="6">
        <v>53</v>
      </c>
    </row>
    <row r="38" spans="1:6" ht="15" thickBot="1" x14ac:dyDescent="0.4">
      <c r="A38" s="7" t="s">
        <v>34</v>
      </c>
      <c r="B38" s="8">
        <v>0.22</v>
      </c>
      <c r="C38" s="8">
        <v>0.34</v>
      </c>
      <c r="D38" s="8">
        <v>0.23</v>
      </c>
      <c r="E38" s="8">
        <v>0.34</v>
      </c>
      <c r="F38" s="9">
        <v>0.49</v>
      </c>
    </row>
    <row r="39" spans="1:6" ht="15" thickBot="1" x14ac:dyDescent="0.4">
      <c r="A39" s="4" t="s">
        <v>35</v>
      </c>
      <c r="B39" s="5">
        <v>35</v>
      </c>
      <c r="C39" s="5">
        <v>53</v>
      </c>
      <c r="D39" s="5">
        <v>37</v>
      </c>
      <c r="E39" s="5">
        <v>53</v>
      </c>
      <c r="F39" s="6">
        <v>78</v>
      </c>
    </row>
    <row r="40" spans="1:6" ht="15" thickBot="1" x14ac:dyDescent="0.4">
      <c r="A40" s="7" t="s">
        <v>36</v>
      </c>
      <c r="B40" s="8">
        <v>4</v>
      </c>
      <c r="C40" s="8">
        <v>6</v>
      </c>
      <c r="D40" s="8">
        <v>4</v>
      </c>
      <c r="E40" s="8">
        <v>6</v>
      </c>
      <c r="F40" s="9">
        <v>9</v>
      </c>
    </row>
    <row r="41" spans="1:6" ht="15" thickBot="1" x14ac:dyDescent="0.4">
      <c r="A41" s="4" t="s">
        <v>37</v>
      </c>
      <c r="B41" s="5">
        <v>7</v>
      </c>
      <c r="C41" s="5">
        <v>7</v>
      </c>
      <c r="D41" s="5">
        <v>7</v>
      </c>
      <c r="E41" s="5">
        <v>7</v>
      </c>
      <c r="F41" s="6">
        <v>7</v>
      </c>
    </row>
    <row r="42" spans="1:6" ht="42" x14ac:dyDescent="0.35">
      <c r="A42" s="39" t="s">
        <v>277</v>
      </c>
    </row>
  </sheetData>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4:F35"/>
  <sheetViews>
    <sheetView workbookViewId="0">
      <selection activeCell="A4" sqref="A4"/>
    </sheetView>
  </sheetViews>
  <sheetFormatPr defaultRowHeight="14.5" x14ac:dyDescent="0.35"/>
  <cols>
    <col min="1" max="1" width="72.08984375" customWidth="1"/>
  </cols>
  <sheetData>
    <row r="4" spans="1:6" ht="15.5" x14ac:dyDescent="0.35">
      <c r="A4" s="23" t="s">
        <v>111</v>
      </c>
    </row>
    <row r="5" spans="1:6" ht="15" thickBot="1" x14ac:dyDescent="0.4"/>
    <row r="6" spans="1:6" ht="18" thickBot="1" x14ac:dyDescent="0.4">
      <c r="A6" s="1" t="s">
        <v>0</v>
      </c>
      <c r="B6" s="2" t="s">
        <v>1</v>
      </c>
      <c r="C6" s="2" t="s">
        <v>2</v>
      </c>
      <c r="D6" s="2" t="s">
        <v>3</v>
      </c>
      <c r="E6" s="2" t="s">
        <v>4</v>
      </c>
      <c r="F6" s="3" t="s">
        <v>5</v>
      </c>
    </row>
    <row r="7" spans="1:6" ht="15" thickBot="1" x14ac:dyDescent="0.4">
      <c r="A7" s="4" t="s">
        <v>38</v>
      </c>
      <c r="B7" s="5">
        <v>31</v>
      </c>
      <c r="C7" s="5">
        <v>31</v>
      </c>
      <c r="D7" s="5">
        <v>31</v>
      </c>
      <c r="E7" s="5">
        <v>31</v>
      </c>
      <c r="F7" s="6">
        <v>31</v>
      </c>
    </row>
    <row r="8" spans="1:6" ht="15" thickBot="1" x14ac:dyDescent="0.4">
      <c r="A8" s="7" t="s">
        <v>39</v>
      </c>
      <c r="B8" s="8">
        <v>1.6</v>
      </c>
      <c r="C8" s="8">
        <v>1.6</v>
      </c>
      <c r="D8" s="8">
        <v>1.6</v>
      </c>
      <c r="E8" s="8">
        <v>1.6</v>
      </c>
      <c r="F8" s="9">
        <v>1.6</v>
      </c>
    </row>
    <row r="9" spans="1:6" ht="15" thickBot="1" x14ac:dyDescent="0.4">
      <c r="A9" s="13" t="s">
        <v>40</v>
      </c>
      <c r="B9" s="14">
        <v>1.2</v>
      </c>
      <c r="C9" s="14">
        <v>1.2</v>
      </c>
      <c r="D9" s="14">
        <v>1.2</v>
      </c>
      <c r="E9" s="14">
        <v>1.2</v>
      </c>
      <c r="F9" s="15">
        <v>1.2</v>
      </c>
    </row>
    <row r="10" spans="1:6" ht="15" thickBot="1" x14ac:dyDescent="0.4">
      <c r="A10" s="10" t="s">
        <v>41</v>
      </c>
      <c r="B10" s="11">
        <v>1.9</v>
      </c>
      <c r="C10" s="11">
        <v>1.9</v>
      </c>
      <c r="D10" s="11">
        <v>1.9</v>
      </c>
      <c r="E10" s="11">
        <v>1.9</v>
      </c>
      <c r="F10" s="12">
        <v>1.9</v>
      </c>
    </row>
    <row r="11" spans="1:6" ht="15" thickBot="1" x14ac:dyDescent="0.4">
      <c r="A11" s="13" t="s">
        <v>42</v>
      </c>
      <c r="B11" s="14">
        <v>2.6</v>
      </c>
      <c r="C11" s="14">
        <v>2.6</v>
      </c>
      <c r="D11" s="14">
        <v>2.6</v>
      </c>
      <c r="E11" s="14">
        <v>2.6</v>
      </c>
      <c r="F11" s="15">
        <v>2.6</v>
      </c>
    </row>
    <row r="12" spans="1:6" ht="15" thickBot="1" x14ac:dyDescent="0.4">
      <c r="A12" s="10" t="s">
        <v>43</v>
      </c>
      <c r="B12" s="11">
        <v>3.3</v>
      </c>
      <c r="C12" s="11">
        <v>3.3</v>
      </c>
      <c r="D12" s="11">
        <v>3.3</v>
      </c>
      <c r="E12" s="11">
        <v>3.3</v>
      </c>
      <c r="F12" s="12">
        <v>3.3</v>
      </c>
    </row>
    <row r="13" spans="1:6" ht="15" thickBot="1" x14ac:dyDescent="0.4">
      <c r="A13" s="4" t="s">
        <v>44</v>
      </c>
      <c r="B13" s="5">
        <v>2.1</v>
      </c>
      <c r="C13" s="5">
        <v>2.1</v>
      </c>
      <c r="D13" s="5">
        <v>2.1</v>
      </c>
      <c r="E13" s="5">
        <v>2.1</v>
      </c>
      <c r="F13" s="6">
        <v>2.1</v>
      </c>
    </row>
    <row r="14" spans="1:6" ht="15" thickBot="1" x14ac:dyDescent="0.4">
      <c r="A14" s="10" t="s">
        <v>45</v>
      </c>
      <c r="B14" s="11">
        <v>1.7</v>
      </c>
      <c r="C14" s="11">
        <v>1.7</v>
      </c>
      <c r="D14" s="11">
        <v>1.7</v>
      </c>
      <c r="E14" s="11">
        <v>1.7</v>
      </c>
      <c r="F14" s="12">
        <v>1.7</v>
      </c>
    </row>
    <row r="15" spans="1:6" ht="15" thickBot="1" x14ac:dyDescent="0.4">
      <c r="A15" s="13" t="s">
        <v>46</v>
      </c>
      <c r="B15" s="14">
        <v>2.4</v>
      </c>
      <c r="C15" s="14">
        <v>2.4</v>
      </c>
      <c r="D15" s="14">
        <v>2.4</v>
      </c>
      <c r="E15" s="14">
        <v>2.4</v>
      </c>
      <c r="F15" s="15">
        <v>2.4</v>
      </c>
    </row>
    <row r="16" spans="1:6" ht="15" thickBot="1" x14ac:dyDescent="0.4">
      <c r="A16" s="10" t="s">
        <v>47</v>
      </c>
      <c r="B16" s="11">
        <v>3.1</v>
      </c>
      <c r="C16" s="11">
        <v>3.1</v>
      </c>
      <c r="D16" s="11">
        <v>3.1</v>
      </c>
      <c r="E16" s="11">
        <v>3.1</v>
      </c>
      <c r="F16" s="12">
        <v>3.1</v>
      </c>
    </row>
    <row r="17" spans="1:6" ht="15" thickBot="1" x14ac:dyDescent="0.4">
      <c r="A17" s="13" t="s">
        <v>48</v>
      </c>
      <c r="B17" s="14">
        <v>3.8</v>
      </c>
      <c r="C17" s="14">
        <v>3.8</v>
      </c>
      <c r="D17" s="14">
        <v>3.8</v>
      </c>
      <c r="E17" s="14">
        <v>3.8</v>
      </c>
      <c r="F17" s="15">
        <v>3.8</v>
      </c>
    </row>
    <row r="18" spans="1:6" ht="15" thickBot="1" x14ac:dyDescent="0.4">
      <c r="A18" s="7" t="s">
        <v>49</v>
      </c>
      <c r="B18" s="8">
        <v>60</v>
      </c>
      <c r="C18" s="8">
        <v>60</v>
      </c>
      <c r="D18" s="8">
        <v>60</v>
      </c>
      <c r="E18" s="8">
        <v>60</v>
      </c>
      <c r="F18" s="9">
        <v>60</v>
      </c>
    </row>
    <row r="19" spans="1:6" ht="15" thickBot="1" x14ac:dyDescent="0.4">
      <c r="A19" s="4" t="s">
        <v>50</v>
      </c>
      <c r="B19" s="5">
        <v>14</v>
      </c>
      <c r="C19" s="5">
        <v>14</v>
      </c>
      <c r="D19" s="5">
        <v>14</v>
      </c>
      <c r="E19" s="5">
        <v>11</v>
      </c>
      <c r="F19" s="6">
        <v>5</v>
      </c>
    </row>
    <row r="20" spans="1:6" ht="15" thickBot="1" x14ac:dyDescent="0.4">
      <c r="A20" s="7" t="s">
        <v>51</v>
      </c>
      <c r="B20" s="8">
        <v>15</v>
      </c>
      <c r="C20" s="8">
        <v>15</v>
      </c>
      <c r="D20" s="8">
        <v>15</v>
      </c>
      <c r="E20" s="8">
        <v>12</v>
      </c>
      <c r="F20" s="9">
        <v>6</v>
      </c>
    </row>
    <row r="21" spans="1:6" ht="15" thickBot="1" x14ac:dyDescent="0.4">
      <c r="A21" s="4" t="s">
        <v>52</v>
      </c>
      <c r="B21" s="5">
        <v>12</v>
      </c>
      <c r="C21" s="5">
        <v>12</v>
      </c>
      <c r="D21" s="5">
        <v>12</v>
      </c>
      <c r="E21" s="5">
        <v>9</v>
      </c>
      <c r="F21" s="6">
        <v>5</v>
      </c>
    </row>
    <row r="22" spans="1:6" ht="15" thickBot="1" x14ac:dyDescent="0.4">
      <c r="A22" s="7" t="s">
        <v>53</v>
      </c>
      <c r="B22" s="8">
        <v>13</v>
      </c>
      <c r="C22" s="8">
        <v>13</v>
      </c>
      <c r="D22" s="8">
        <v>13</v>
      </c>
      <c r="E22" s="8">
        <v>10</v>
      </c>
      <c r="F22" s="9">
        <v>6</v>
      </c>
    </row>
    <row r="23" spans="1:6" ht="15" thickBot="1" x14ac:dyDescent="0.4">
      <c r="A23" s="4" t="s">
        <v>267</v>
      </c>
      <c r="B23" s="5">
        <v>4</v>
      </c>
      <c r="C23" s="5">
        <v>4</v>
      </c>
      <c r="D23" s="5">
        <v>4</v>
      </c>
      <c r="E23" s="5">
        <v>3</v>
      </c>
      <c r="F23" s="6">
        <v>2</v>
      </c>
    </row>
    <row r="24" spans="1:6" ht="15" thickBot="1" x14ac:dyDescent="0.4">
      <c r="A24" s="4" t="s">
        <v>268</v>
      </c>
      <c r="B24" s="5">
        <v>38</v>
      </c>
      <c r="C24" s="5">
        <v>38</v>
      </c>
      <c r="D24" s="5">
        <v>38</v>
      </c>
      <c r="E24" s="5">
        <v>38</v>
      </c>
      <c r="F24" s="6">
        <v>38</v>
      </c>
    </row>
    <row r="25" spans="1:6" ht="15" thickBot="1" x14ac:dyDescent="0.4">
      <c r="A25" s="4" t="s">
        <v>269</v>
      </c>
      <c r="B25" s="5">
        <v>4</v>
      </c>
      <c r="C25" s="5">
        <v>4</v>
      </c>
      <c r="D25" s="5">
        <v>4</v>
      </c>
      <c r="E25" s="5">
        <v>3</v>
      </c>
      <c r="F25" s="6">
        <v>2</v>
      </c>
    </row>
    <row r="26" spans="1:6" ht="15" thickBot="1" x14ac:dyDescent="0.4">
      <c r="A26" s="7" t="s">
        <v>270</v>
      </c>
      <c r="B26" s="8">
        <v>36</v>
      </c>
      <c r="C26" s="8">
        <v>36</v>
      </c>
      <c r="D26" s="8">
        <v>36</v>
      </c>
      <c r="E26" s="8">
        <v>36</v>
      </c>
      <c r="F26" s="9">
        <v>36</v>
      </c>
    </row>
    <row r="27" spans="1:6" ht="15" thickBot="1" x14ac:dyDescent="0.4">
      <c r="A27" s="4" t="s">
        <v>271</v>
      </c>
      <c r="B27" s="5">
        <v>7</v>
      </c>
      <c r="C27" s="5">
        <v>7</v>
      </c>
      <c r="D27" s="5">
        <v>7</v>
      </c>
      <c r="E27" s="5">
        <v>6</v>
      </c>
      <c r="F27" s="6">
        <v>3</v>
      </c>
    </row>
    <row r="28" spans="1:6" ht="15" thickBot="1" x14ac:dyDescent="0.4">
      <c r="A28" s="4" t="s">
        <v>272</v>
      </c>
      <c r="B28" s="5">
        <v>17</v>
      </c>
      <c r="C28" s="5">
        <v>17</v>
      </c>
      <c r="D28" s="5">
        <v>17</v>
      </c>
      <c r="E28" s="5">
        <v>17</v>
      </c>
      <c r="F28" s="6">
        <v>17</v>
      </c>
    </row>
    <row r="29" spans="1:6" ht="15" thickBot="1" x14ac:dyDescent="0.4">
      <c r="A29" s="7" t="s">
        <v>29</v>
      </c>
      <c r="B29" s="8">
        <v>16</v>
      </c>
      <c r="C29" s="8">
        <v>21</v>
      </c>
      <c r="D29" s="8">
        <v>24</v>
      </c>
      <c r="E29" s="8">
        <v>12</v>
      </c>
      <c r="F29" s="9">
        <v>6</v>
      </c>
    </row>
    <row r="30" spans="1:6" ht="15" thickBot="1" x14ac:dyDescent="0.4">
      <c r="A30" s="4" t="s">
        <v>54</v>
      </c>
      <c r="B30" s="5">
        <v>13</v>
      </c>
      <c r="C30" s="5">
        <v>17</v>
      </c>
      <c r="D30" s="5">
        <v>20</v>
      </c>
      <c r="E30" s="5">
        <v>9</v>
      </c>
      <c r="F30" s="6">
        <v>5</v>
      </c>
    </row>
    <row r="31" spans="1:6" ht="15" thickBot="1" x14ac:dyDescent="0.4">
      <c r="A31" s="7" t="s">
        <v>55</v>
      </c>
      <c r="B31" s="8">
        <v>4</v>
      </c>
      <c r="C31" s="8">
        <v>4</v>
      </c>
      <c r="D31" s="8">
        <v>4</v>
      </c>
      <c r="E31" s="8">
        <v>3</v>
      </c>
      <c r="F31" s="9">
        <v>2</v>
      </c>
    </row>
    <row r="32" spans="1:6" ht="15" thickBot="1" x14ac:dyDescent="0.4">
      <c r="A32" s="4" t="s">
        <v>56</v>
      </c>
      <c r="B32" s="5">
        <v>22</v>
      </c>
      <c r="C32" s="5">
        <v>17</v>
      </c>
      <c r="D32" s="5">
        <v>17</v>
      </c>
      <c r="E32" s="5">
        <v>12</v>
      </c>
      <c r="F32" s="6">
        <v>5</v>
      </c>
    </row>
    <row r="33" spans="1:6" ht="15" thickBot="1" x14ac:dyDescent="0.4">
      <c r="A33" s="7" t="s">
        <v>57</v>
      </c>
      <c r="B33" s="8">
        <v>0.24</v>
      </c>
      <c r="C33" s="8">
        <v>0.19</v>
      </c>
      <c r="D33" s="8">
        <v>0.19</v>
      </c>
      <c r="E33" s="8">
        <v>0.13</v>
      </c>
      <c r="F33" s="9">
        <v>0.05</v>
      </c>
    </row>
    <row r="34" spans="1:6" ht="15" thickBot="1" x14ac:dyDescent="0.4">
      <c r="A34" s="4" t="s">
        <v>58</v>
      </c>
      <c r="B34" s="5">
        <v>4</v>
      </c>
      <c r="C34" s="5">
        <v>3</v>
      </c>
      <c r="D34" s="5">
        <v>3</v>
      </c>
      <c r="E34" s="5">
        <v>2</v>
      </c>
      <c r="F34" s="6">
        <v>1</v>
      </c>
    </row>
    <row r="35" spans="1:6" ht="42" x14ac:dyDescent="0.35">
      <c r="A35" s="39" t="s">
        <v>278</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4:O45"/>
  <sheetViews>
    <sheetView tabSelected="1" zoomScaleNormal="100" workbookViewId="0">
      <selection activeCell="H21" sqref="H21"/>
    </sheetView>
  </sheetViews>
  <sheetFormatPr defaultRowHeight="14.5" x14ac:dyDescent="0.35"/>
  <cols>
    <col min="1" max="1" width="51.453125" style="43" customWidth="1"/>
    <col min="3" max="5" width="8.90625" style="43"/>
    <col min="6" max="6" width="12" style="43" customWidth="1"/>
    <col min="7" max="15" width="8.90625" style="43"/>
  </cols>
  <sheetData>
    <row r="4" spans="1:3" ht="22.5" x14ac:dyDescent="0.45">
      <c r="A4" s="44" t="s">
        <v>315</v>
      </c>
    </row>
    <row r="5" spans="1:3" ht="14.15" customHeight="1" x14ac:dyDescent="0.45">
      <c r="A5" s="44"/>
    </row>
    <row r="6" spans="1:3" x14ac:dyDescent="0.35">
      <c r="A6" s="45" t="s">
        <v>112</v>
      </c>
    </row>
    <row r="7" spans="1:3" hidden="1" x14ac:dyDescent="0.35">
      <c r="A7" s="46" t="s">
        <v>113</v>
      </c>
    </row>
    <row r="9" spans="1:3" ht="17.5" x14ac:dyDescent="0.35">
      <c r="A9" s="47" t="s">
        <v>141</v>
      </c>
    </row>
    <row r="10" spans="1:3" hidden="1" x14ac:dyDescent="0.35"/>
    <row r="11" spans="1:3" hidden="1" x14ac:dyDescent="0.35">
      <c r="A11" s="43" t="s">
        <v>60</v>
      </c>
      <c r="B11" s="40">
        <v>2</v>
      </c>
    </row>
    <row r="12" spans="1:3" x14ac:dyDescent="0.35">
      <c r="A12" s="43" t="s">
        <v>305</v>
      </c>
      <c r="B12" s="41"/>
      <c r="C12" s="43" t="s">
        <v>314</v>
      </c>
    </row>
    <row r="13" spans="1:3" x14ac:dyDescent="0.35">
      <c r="B13" s="42"/>
    </row>
    <row r="14" spans="1:3" ht="17.5" x14ac:dyDescent="0.35">
      <c r="A14" s="47" t="s">
        <v>162</v>
      </c>
      <c r="B14" s="42"/>
      <c r="C14" s="52"/>
    </row>
    <row r="15" spans="1:3" x14ac:dyDescent="0.35">
      <c r="A15" s="43" t="s">
        <v>59</v>
      </c>
      <c r="B15" s="40"/>
      <c r="C15" s="43" t="s">
        <v>61</v>
      </c>
    </row>
    <row r="16" spans="1:3" x14ac:dyDescent="0.35">
      <c r="A16" s="59" t="s">
        <v>62</v>
      </c>
      <c r="B16" s="42"/>
    </row>
    <row r="17" spans="1:5" x14ac:dyDescent="0.35">
      <c r="A17" s="43" t="s">
        <v>64</v>
      </c>
      <c r="B17" s="40"/>
      <c r="C17" s="43" t="s">
        <v>63</v>
      </c>
    </row>
    <row r="18" spans="1:5" x14ac:dyDescent="0.35">
      <c r="A18" s="59" t="s">
        <v>62</v>
      </c>
      <c r="B18" s="42"/>
    </row>
    <row r="19" spans="1:5" x14ac:dyDescent="0.35">
      <c r="A19" s="60" t="s">
        <v>316</v>
      </c>
      <c r="B19" s="42"/>
    </row>
    <row r="20" spans="1:5" x14ac:dyDescent="0.35">
      <c r="A20" s="43" t="s">
        <v>66</v>
      </c>
      <c r="B20" s="40"/>
      <c r="C20" s="43" t="s">
        <v>63</v>
      </c>
    </row>
    <row r="21" spans="1:5" x14ac:dyDescent="0.35">
      <c r="A21" s="43" t="s">
        <v>67</v>
      </c>
      <c r="B21" s="40"/>
      <c r="C21" s="43" t="s">
        <v>63</v>
      </c>
    </row>
    <row r="22" spans="1:5" x14ac:dyDescent="0.35">
      <c r="A22" s="43" t="s">
        <v>68</v>
      </c>
      <c r="B22" s="40"/>
      <c r="C22" s="43" t="s">
        <v>63</v>
      </c>
    </row>
    <row r="23" spans="1:5" x14ac:dyDescent="0.35">
      <c r="A23" s="43" t="s">
        <v>229</v>
      </c>
      <c r="B23" s="40"/>
      <c r="C23" s="43" t="s">
        <v>63</v>
      </c>
    </row>
    <row r="24" spans="1:5" x14ac:dyDescent="0.35">
      <c r="B24" s="42"/>
    </row>
    <row r="25" spans="1:5" ht="17.5" x14ac:dyDescent="0.35">
      <c r="A25" s="47" t="s">
        <v>114</v>
      </c>
      <c r="B25" s="42"/>
    </row>
    <row r="26" spans="1:5" x14ac:dyDescent="0.35">
      <c r="A26" s="43" t="s">
        <v>245</v>
      </c>
      <c r="B26" s="40"/>
      <c r="C26" s="43" t="s">
        <v>61</v>
      </c>
      <c r="E26" s="48" t="s">
        <v>246</v>
      </c>
    </row>
    <row r="27" spans="1:5" x14ac:dyDescent="0.35">
      <c r="A27" s="43" t="s">
        <v>69</v>
      </c>
      <c r="B27" s="40"/>
      <c r="C27" s="43" t="s">
        <v>71</v>
      </c>
    </row>
    <row r="28" spans="1:5" x14ac:dyDescent="0.35">
      <c r="A28" s="43" t="s">
        <v>70</v>
      </c>
      <c r="B28" s="40"/>
      <c r="C28" s="43" t="s">
        <v>72</v>
      </c>
    </row>
    <row r="29" spans="1:5" x14ac:dyDescent="0.35">
      <c r="B29" s="42"/>
    </row>
    <row r="30" spans="1:5" ht="17.5" x14ac:dyDescent="0.35">
      <c r="A30" s="47" t="s">
        <v>115</v>
      </c>
      <c r="B30" s="42"/>
    </row>
    <row r="31" spans="1:5" x14ac:dyDescent="0.35">
      <c r="A31" s="43" t="s">
        <v>86</v>
      </c>
      <c r="B31" s="40"/>
      <c r="C31" s="43" t="s">
        <v>78</v>
      </c>
    </row>
    <row r="32" spans="1:5" x14ac:dyDescent="0.35">
      <c r="A32" s="43" t="s">
        <v>87</v>
      </c>
      <c r="B32" s="40"/>
      <c r="C32" s="43" t="s">
        <v>78</v>
      </c>
    </row>
    <row r="33" spans="1:5" x14ac:dyDescent="0.35">
      <c r="B33" s="42"/>
    </row>
    <row r="34" spans="1:5" ht="17.5" x14ac:dyDescent="0.35">
      <c r="A34" s="47" t="s">
        <v>65</v>
      </c>
      <c r="B34" s="42"/>
    </row>
    <row r="35" spans="1:5" x14ac:dyDescent="0.35">
      <c r="A35" s="43" t="s">
        <v>73</v>
      </c>
      <c r="B35" s="40"/>
      <c r="C35" s="43" t="s">
        <v>61</v>
      </c>
    </row>
    <row r="36" spans="1:5" x14ac:dyDescent="0.35">
      <c r="A36" s="43" t="s">
        <v>74</v>
      </c>
      <c r="B36" s="40"/>
      <c r="C36" s="43" t="s">
        <v>61</v>
      </c>
    </row>
    <row r="37" spans="1:5" x14ac:dyDescent="0.35">
      <c r="A37" s="43" t="s">
        <v>75</v>
      </c>
      <c r="B37" s="40"/>
      <c r="C37" s="43" t="s">
        <v>61</v>
      </c>
    </row>
    <row r="38" spans="1:5" x14ac:dyDescent="0.35">
      <c r="A38" s="43" t="s">
        <v>76</v>
      </c>
      <c r="B38" s="40"/>
      <c r="C38" s="43" t="s">
        <v>61</v>
      </c>
    </row>
    <row r="39" spans="1:5" x14ac:dyDescent="0.35">
      <c r="A39" s="43" t="s">
        <v>93</v>
      </c>
      <c r="B39" s="40"/>
      <c r="C39" s="43" t="s">
        <v>61</v>
      </c>
    </row>
    <row r="40" spans="1:5" x14ac:dyDescent="0.35">
      <c r="A40" s="43" t="s">
        <v>94</v>
      </c>
      <c r="B40" s="40"/>
      <c r="C40" s="43" t="s">
        <v>61</v>
      </c>
    </row>
    <row r="41" spans="1:5" x14ac:dyDescent="0.35">
      <c r="A41" s="43" t="s">
        <v>77</v>
      </c>
      <c r="B41" s="40"/>
      <c r="C41" s="43" t="s">
        <v>61</v>
      </c>
    </row>
    <row r="42" spans="1:5" x14ac:dyDescent="0.35">
      <c r="A42" s="43" t="s">
        <v>202</v>
      </c>
      <c r="B42" s="40"/>
      <c r="C42" s="43" t="s">
        <v>61</v>
      </c>
    </row>
    <row r="43" spans="1:5" x14ac:dyDescent="0.35">
      <c r="A43" s="43" t="s">
        <v>203</v>
      </c>
      <c r="B43" s="40"/>
      <c r="C43" s="43" t="s">
        <v>61</v>
      </c>
      <c r="E43" s="48" t="s">
        <v>230</v>
      </c>
    </row>
    <row r="44" spans="1:5" x14ac:dyDescent="0.35">
      <c r="A44" s="43" t="s">
        <v>204</v>
      </c>
      <c r="B44" s="40"/>
      <c r="C44" s="43" t="s">
        <v>61</v>
      </c>
    </row>
    <row r="45" spans="1:5" x14ac:dyDescent="0.35">
      <c r="B45" s="42"/>
    </row>
  </sheetData>
  <sheetProtection algorithmName="SHA-512" hashValue="po1peSZfTsytbn88/oDLYqa0JhYJVWCXyA0IsFH8Qw/EdjvV3QTNf2ItBTY+Q7hqSoUXhgELYJvqd5+prQwpRg==" saltValue="YMjVSuh+KJke67SwSsOZ/w==" spinCount="100000" sheet="1" objects="1" scenarios="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7D6C0-8960-4F09-BA4B-74D2E52F25F9}">
  <dimension ref="A4:E48"/>
  <sheetViews>
    <sheetView zoomScaleNormal="100" workbookViewId="0">
      <selection activeCell="A53" sqref="A53"/>
    </sheetView>
  </sheetViews>
  <sheetFormatPr defaultRowHeight="14.5" x14ac:dyDescent="0.35"/>
  <cols>
    <col min="1" max="1" width="41.6328125" customWidth="1"/>
    <col min="2" max="2" width="8.54296875" customWidth="1"/>
  </cols>
  <sheetData>
    <row r="4" spans="1:3" ht="22.5" x14ac:dyDescent="0.45">
      <c r="A4" s="16" t="s">
        <v>238</v>
      </c>
    </row>
    <row r="5" spans="1:3" hidden="1" x14ac:dyDescent="0.35">
      <c r="A5" t="s">
        <v>311</v>
      </c>
    </row>
    <row r="6" spans="1:3" hidden="1" x14ac:dyDescent="0.35"/>
    <row r="7" spans="1:3" hidden="1" x14ac:dyDescent="0.35">
      <c r="A7" s="20" t="s">
        <v>292</v>
      </c>
    </row>
    <row r="9" spans="1:3" ht="17.5" x14ac:dyDescent="0.35">
      <c r="A9" s="17" t="s">
        <v>239</v>
      </c>
    </row>
    <row r="10" spans="1:3" x14ac:dyDescent="0.35">
      <c r="A10" s="26" t="s">
        <v>318</v>
      </c>
      <c r="B10" s="20">
        <f>Cykel!I6</f>
        <v>0</v>
      </c>
      <c r="C10" s="26" t="s">
        <v>325</v>
      </c>
    </row>
    <row r="11" spans="1:3" hidden="1" x14ac:dyDescent="0.35"/>
    <row r="12" spans="1:3" ht="17.5" hidden="1" x14ac:dyDescent="0.35">
      <c r="A12" s="17" t="s">
        <v>240</v>
      </c>
    </row>
    <row r="13" spans="1:3" hidden="1" x14ac:dyDescent="0.35"/>
    <row r="14" spans="1:3" hidden="1" x14ac:dyDescent="0.35">
      <c r="A14" t="s">
        <v>237</v>
      </c>
      <c r="B14" s="20">
        <f>'Bil grundtal'!E5</f>
        <v>0</v>
      </c>
      <c r="C14" t="s">
        <v>282</v>
      </c>
    </row>
    <row r="15" spans="1:3" hidden="1" x14ac:dyDescent="0.35">
      <c r="B15" s="20">
        <f>'Bil grundtal'!E6</f>
        <v>0</v>
      </c>
      <c r="C15" t="s">
        <v>283</v>
      </c>
    </row>
    <row r="16" spans="1:3" hidden="1" x14ac:dyDescent="0.35">
      <c r="B16" s="20">
        <f>SUM(B14:B15)</f>
        <v>0</v>
      </c>
      <c r="C16" s="26" t="s">
        <v>284</v>
      </c>
    </row>
    <row r="17" spans="1:3" hidden="1" x14ac:dyDescent="0.35">
      <c r="A17" t="s">
        <v>261</v>
      </c>
      <c r="B17" s="30">
        <f>IF(B16=0,0,(IF(B16&lt;11,1,(B16*Förutsättningar!B12))))</f>
        <v>0</v>
      </c>
      <c r="C17" t="s">
        <v>306</v>
      </c>
    </row>
    <row r="18" spans="1:3" hidden="1" x14ac:dyDescent="0.35"/>
    <row r="19" spans="1:3" ht="17.5" hidden="1" x14ac:dyDescent="0.35">
      <c r="A19" s="17" t="s">
        <v>241</v>
      </c>
    </row>
    <row r="20" spans="1:3" hidden="1" x14ac:dyDescent="0.35"/>
    <row r="21" spans="1:3" hidden="1" x14ac:dyDescent="0.35">
      <c r="A21" t="s">
        <v>237</v>
      </c>
      <c r="B21" s="20">
        <f>'Red bilpool'!I7+'Red bilpool'!J8+'Red bilpool'!I11+'Red bilpool'!I14+'Red bilpool'!I17</f>
        <v>0</v>
      </c>
      <c r="C21" t="s">
        <v>285</v>
      </c>
    </row>
    <row r="22" spans="1:3" hidden="1" x14ac:dyDescent="0.35">
      <c r="B22" s="20">
        <f>'Red bilpool'!I20+'Red bilpool'!J21</f>
        <v>0</v>
      </c>
      <c r="C22" t="s">
        <v>286</v>
      </c>
    </row>
    <row r="23" spans="1:3" hidden="1" x14ac:dyDescent="0.35">
      <c r="A23" t="s">
        <v>247</v>
      </c>
      <c r="B23" s="20">
        <f>'Red bilpool'!J25</f>
        <v>0</v>
      </c>
      <c r="C23" t="s">
        <v>257</v>
      </c>
    </row>
    <row r="24" spans="1:3" hidden="1" x14ac:dyDescent="0.35">
      <c r="A24" t="s">
        <v>261</v>
      </c>
      <c r="B24" s="30">
        <f>B17</f>
        <v>0</v>
      </c>
      <c r="C24" t="s">
        <v>306</v>
      </c>
    </row>
    <row r="25" spans="1:3" hidden="1" x14ac:dyDescent="0.35">
      <c r="A25" s="26" t="s">
        <v>290</v>
      </c>
      <c r="B25" s="20">
        <f>'Red bilpool'!M37-B23</f>
        <v>0</v>
      </c>
      <c r="C25" s="26" t="s">
        <v>287</v>
      </c>
    </row>
    <row r="26" spans="1:3" hidden="1" x14ac:dyDescent="0.35"/>
    <row r="27" spans="1:3" ht="17.5" hidden="1" x14ac:dyDescent="0.35">
      <c r="A27" s="17" t="s">
        <v>242</v>
      </c>
    </row>
    <row r="28" spans="1:3" hidden="1" x14ac:dyDescent="0.35"/>
    <row r="29" spans="1:3" hidden="1" x14ac:dyDescent="0.35">
      <c r="A29" t="s">
        <v>237</v>
      </c>
      <c r="B29" s="20">
        <f>'Red MM'!H7+'Red MM'!I8+'Red MM'!H11+'Red MM'!H14+'Red MM'!H17</f>
        <v>0</v>
      </c>
      <c r="C29" t="s">
        <v>288</v>
      </c>
    </row>
    <row r="30" spans="1:3" hidden="1" x14ac:dyDescent="0.35">
      <c r="B30" s="20">
        <f>'Red MM'!H20+'Red MM'!I21</f>
        <v>0</v>
      </c>
      <c r="C30" t="s">
        <v>289</v>
      </c>
    </row>
    <row r="31" spans="1:3" hidden="1" x14ac:dyDescent="0.35">
      <c r="A31" t="s">
        <v>247</v>
      </c>
      <c r="B31" s="30">
        <f>B23</f>
        <v>0</v>
      </c>
      <c r="C31" t="s">
        <v>262</v>
      </c>
    </row>
    <row r="32" spans="1:3" hidden="1" x14ac:dyDescent="0.35">
      <c r="A32" t="s">
        <v>261</v>
      </c>
      <c r="B32" s="30">
        <f>B17</f>
        <v>0</v>
      </c>
      <c r="C32" t="s">
        <v>306</v>
      </c>
    </row>
    <row r="33" spans="1:5" hidden="1" x14ac:dyDescent="0.35">
      <c r="A33" s="26" t="s">
        <v>290</v>
      </c>
      <c r="B33" s="30">
        <f>'Red MM'!I42-B31</f>
        <v>0</v>
      </c>
      <c r="C33" s="26" t="s">
        <v>287</v>
      </c>
    </row>
    <row r="35" spans="1:5" ht="17.5" x14ac:dyDescent="0.35">
      <c r="A35" s="17" t="s">
        <v>323</v>
      </c>
    </row>
    <row r="36" spans="1:5" x14ac:dyDescent="0.35">
      <c r="A36" t="s">
        <v>317</v>
      </c>
      <c r="B36" s="30">
        <f>'Bil grundtal'!E5+'Bil grundtal'!E6</f>
        <v>0</v>
      </c>
      <c r="C36" t="s">
        <v>321</v>
      </c>
    </row>
    <row r="38" spans="1:5" x14ac:dyDescent="0.35">
      <c r="A38" s="26" t="s">
        <v>318</v>
      </c>
      <c r="B38" s="55">
        <f>B39+B41</f>
        <v>0</v>
      </c>
      <c r="C38" s="26" t="s">
        <v>326</v>
      </c>
      <c r="D38" s="26"/>
    </row>
    <row r="39" spans="1:5" hidden="1" x14ac:dyDescent="0.35">
      <c r="A39" t="s">
        <v>237</v>
      </c>
      <c r="B39" s="30">
        <f>'Red samnyttjande Kopparlunden'!E35</f>
        <v>0</v>
      </c>
      <c r="C39" t="s">
        <v>243</v>
      </c>
    </row>
    <row r="40" spans="1:5" x14ac:dyDescent="0.35">
      <c r="A40" t="s">
        <v>324</v>
      </c>
      <c r="B40" s="30">
        <f>B17</f>
        <v>0</v>
      </c>
      <c r="C40" t="s">
        <v>322</v>
      </c>
    </row>
    <row r="41" spans="1:5" x14ac:dyDescent="0.35">
      <c r="A41" t="s">
        <v>324</v>
      </c>
      <c r="B41" s="30">
        <f>B31</f>
        <v>0</v>
      </c>
      <c r="C41" t="s">
        <v>257</v>
      </c>
    </row>
    <row r="43" spans="1:5" s="26" customFormat="1" x14ac:dyDescent="0.35">
      <c r="A43" s="31" t="s">
        <v>319</v>
      </c>
      <c r="B43" s="30">
        <f>'Red samnyttjande Kopparlunden'!B40+B33</f>
        <v>0</v>
      </c>
      <c r="C43" s="31" t="s">
        <v>320</v>
      </c>
      <c r="D43"/>
      <c r="E43"/>
    </row>
    <row r="48" spans="1:5" ht="17.5" x14ac:dyDescent="0.35">
      <c r="A48" s="17"/>
    </row>
  </sheetData>
  <sheetProtection algorithmName="SHA-512" hashValue="KoVCDLUkkea8yo8uHgUcha3+gt0stoi1G+LhiyczsSnaTcA+Y/JOgDLT9OEaGteGZyGOVPYjKYLpKrhirGShKg==" saltValue="q3uJtDFD3k5Lz9wzDFtQUQ==" spinCount="100000" sheet="1" objects="1" scenarios="1"/>
  <conditionalFormatting sqref="B10">
    <cfRule type="cellIs" dxfId="150" priority="33" operator="greaterThan">
      <formula>0</formula>
    </cfRule>
    <cfRule type="cellIs" dxfId="149" priority="34" operator="greaterThan">
      <formula>0</formula>
    </cfRule>
  </conditionalFormatting>
  <conditionalFormatting sqref="B14">
    <cfRule type="cellIs" dxfId="148" priority="31" operator="greaterThan">
      <formula>0</formula>
    </cfRule>
    <cfRule type="cellIs" dxfId="147" priority="32" operator="greaterThan">
      <formula>0</formula>
    </cfRule>
  </conditionalFormatting>
  <conditionalFormatting sqref="B15:B16">
    <cfRule type="cellIs" dxfId="146" priority="29" operator="greaterThan">
      <formula>0</formula>
    </cfRule>
    <cfRule type="cellIs" dxfId="145" priority="30" operator="greaterThan">
      <formula>0</formula>
    </cfRule>
  </conditionalFormatting>
  <conditionalFormatting sqref="B21">
    <cfRule type="cellIs" dxfId="144" priority="27" operator="greaterThan">
      <formula>0</formula>
    </cfRule>
    <cfRule type="cellIs" dxfId="143" priority="28" operator="greaterThan">
      <formula>0</formula>
    </cfRule>
  </conditionalFormatting>
  <conditionalFormatting sqref="B22:B23">
    <cfRule type="cellIs" dxfId="142" priority="25" operator="greaterThan">
      <formula>0</formula>
    </cfRule>
    <cfRule type="cellIs" dxfId="141" priority="26" operator="greaterThan">
      <formula>0</formula>
    </cfRule>
  </conditionalFormatting>
  <conditionalFormatting sqref="B29">
    <cfRule type="cellIs" dxfId="140" priority="23" operator="greaterThan">
      <formula>0</formula>
    </cfRule>
    <cfRule type="cellIs" dxfId="139" priority="24" operator="greaterThan">
      <formula>0</formula>
    </cfRule>
  </conditionalFormatting>
  <conditionalFormatting sqref="B30">
    <cfRule type="cellIs" dxfId="138" priority="21" operator="greaterThan">
      <formula>0</formula>
    </cfRule>
    <cfRule type="cellIs" dxfId="137" priority="22" operator="greaterThan">
      <formula>0</formula>
    </cfRule>
  </conditionalFormatting>
  <conditionalFormatting sqref="B33">
    <cfRule type="cellIs" dxfId="136" priority="20" operator="greaterThan">
      <formula>0</formula>
    </cfRule>
  </conditionalFormatting>
  <conditionalFormatting sqref="B38:B41">
    <cfRule type="cellIs" dxfId="135" priority="18" operator="greaterThan">
      <formula>0</formula>
    </cfRule>
    <cfRule type="cellIs" dxfId="134" priority="19" operator="greaterThan">
      <formula>0</formula>
    </cfRule>
  </conditionalFormatting>
  <conditionalFormatting sqref="B43">
    <cfRule type="cellIs" dxfId="133" priority="16" operator="greaterThan">
      <formula>0</formula>
    </cfRule>
    <cfRule type="cellIs" dxfId="132" priority="17" operator="greaterThan">
      <formula>0</formula>
    </cfRule>
  </conditionalFormatting>
  <conditionalFormatting sqref="B17">
    <cfRule type="cellIs" dxfId="131" priority="14" operator="greaterThan">
      <formula>0</formula>
    </cfRule>
    <cfRule type="cellIs" dxfId="130" priority="15" operator="greaterThan">
      <formula>0</formula>
    </cfRule>
  </conditionalFormatting>
  <conditionalFormatting sqref="B31">
    <cfRule type="cellIs" dxfId="129" priority="13" operator="greaterThan">
      <formula>0</formula>
    </cfRule>
  </conditionalFormatting>
  <conditionalFormatting sqref="B24">
    <cfRule type="cellIs" dxfId="128" priority="11" operator="greaterThan">
      <formula>0</formula>
    </cfRule>
    <cfRule type="cellIs" dxfId="127" priority="12" operator="greaterThan">
      <formula>0</formula>
    </cfRule>
  </conditionalFormatting>
  <conditionalFormatting sqref="B32">
    <cfRule type="cellIs" dxfId="126" priority="9" operator="greaterThan">
      <formula>0</formula>
    </cfRule>
    <cfRule type="cellIs" dxfId="125" priority="10" operator="greaterThan">
      <formula>0</formula>
    </cfRule>
  </conditionalFormatting>
  <conditionalFormatting sqref="B40">
    <cfRule type="cellIs" dxfId="124" priority="7" operator="greaterThan">
      <formula>0</formula>
    </cfRule>
    <cfRule type="cellIs" dxfId="123" priority="8" operator="greaterThan">
      <formula>0</formula>
    </cfRule>
  </conditionalFormatting>
  <conditionalFormatting sqref="B25">
    <cfRule type="cellIs" dxfId="122" priority="3" operator="greaterThan">
      <formula>0</formula>
    </cfRule>
    <cfRule type="cellIs" dxfId="121" priority="4" operator="greaterThan">
      <formula>0</formula>
    </cfRule>
  </conditionalFormatting>
  <conditionalFormatting sqref="A7">
    <cfRule type="cellIs" dxfId="120" priority="5" operator="greaterThan">
      <formula>0</formula>
    </cfRule>
    <cfRule type="cellIs" dxfId="119" priority="6" operator="greaterThan">
      <formula>0</formula>
    </cfRule>
  </conditionalFormatting>
  <conditionalFormatting sqref="B36 B38">
    <cfRule type="cellIs" dxfId="118" priority="1" operator="greaterThan">
      <formula>0</formula>
    </cfRule>
    <cfRule type="cellIs" dxfId="117" priority="2" operator="greaterThan">
      <formula>0</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4:I52"/>
  <sheetViews>
    <sheetView zoomScaleNormal="100" workbookViewId="0">
      <selection activeCell="A58" sqref="A58"/>
    </sheetView>
  </sheetViews>
  <sheetFormatPr defaultRowHeight="14.5" x14ac:dyDescent="0.35"/>
  <cols>
    <col min="1" max="1" width="55.453125" customWidth="1"/>
    <col min="2" max="2" width="11.453125" bestFit="1" customWidth="1"/>
  </cols>
  <sheetData>
    <row r="4" spans="1:9" ht="17.5" x14ac:dyDescent="0.35">
      <c r="A4" s="17" t="s">
        <v>142</v>
      </c>
    </row>
    <row r="5" spans="1:9" x14ac:dyDescent="0.35">
      <c r="A5" s="18" t="s">
        <v>112</v>
      </c>
    </row>
    <row r="6" spans="1:9" x14ac:dyDescent="0.35">
      <c r="A6" s="20" t="s">
        <v>113</v>
      </c>
      <c r="E6" t="s">
        <v>227</v>
      </c>
      <c r="I6" s="20">
        <f>(IF(B29&gt;0,B29,IF(B12&gt;0,B12,IF(B16&gt;0,B16,0))))+B32+B38+B40+B42+B43+B44+B45+B46+B47+B48+B49+B50+B51+B52</f>
        <v>0</v>
      </c>
    </row>
    <row r="7" spans="1:9" x14ac:dyDescent="0.35">
      <c r="A7" s="20" t="s">
        <v>291</v>
      </c>
    </row>
    <row r="8" spans="1:9" hidden="1" x14ac:dyDescent="0.35"/>
    <row r="9" spans="1:9" hidden="1" x14ac:dyDescent="0.35">
      <c r="A9" t="s">
        <v>79</v>
      </c>
      <c r="B9" s="20">
        <f>Förutsättningar!B11</f>
        <v>2</v>
      </c>
    </row>
    <row r="11" spans="1:9" ht="17.5" x14ac:dyDescent="0.35">
      <c r="A11" s="17" t="s">
        <v>164</v>
      </c>
    </row>
    <row r="12" spans="1:9" ht="29" x14ac:dyDescent="0.35">
      <c r="A12" s="21" t="s">
        <v>163</v>
      </c>
      <c r="B12" s="20">
        <f>ROUNDUP(Förutsättningar!B15/1000*IF(B9=1,'Ptal cykel'!B7,(IF(B9=2,'Ptal cykel'!C7,(IF(B9=3,'Ptal cykel'!D7,(IF(B9=4,'Ptal cykel'!E7,(IF(B9=5,'Ptal cykel'!F7,0))))))))),0)</f>
        <v>0</v>
      </c>
      <c r="C12" t="s">
        <v>90</v>
      </c>
    </row>
    <row r="14" spans="1:9" x14ac:dyDescent="0.35">
      <c r="A14" s="19" t="s">
        <v>62</v>
      </c>
    </row>
    <row r="15" spans="1:9" ht="29" x14ac:dyDescent="0.35">
      <c r="A15" s="21" t="s">
        <v>128</v>
      </c>
      <c r="B15" s="20">
        <f>ROUNDUP(Förutsättningar!B17*IF(B9=1,'Ptal cykel'!B8,(IF(B9=2,'Ptal cykel'!C8,(IF(B9=3,'Ptal cykel'!D8,(IF(B9=4,'Ptal cykel'!E8,(IF(B9=5,'Ptal cykel'!F8,0))))))))),0)</f>
        <v>0</v>
      </c>
      <c r="C15" t="s">
        <v>91</v>
      </c>
    </row>
    <row r="16" spans="1:9" x14ac:dyDescent="0.35">
      <c r="A16" s="21"/>
      <c r="B16" s="20">
        <f>ROUNDUP(Förutsättningar!B17*IF(B9=1,'Ptal cykel'!B13,(IF(B9=2,'Ptal cykel'!C13,(IF(B9=3,'Ptal cykel'!D13,(IF(B9=4,'Ptal cykel'!E13,(IF(B9=5,'Ptal cykel'!F13,0))))))))),0)</f>
        <v>0</v>
      </c>
      <c r="C16" t="s">
        <v>90</v>
      </c>
    </row>
    <row r="17" spans="1:4" x14ac:dyDescent="0.35">
      <c r="A17" s="19" t="s">
        <v>62</v>
      </c>
    </row>
    <row r="18" spans="1:4" x14ac:dyDescent="0.35">
      <c r="A18" s="19" t="s">
        <v>176</v>
      </c>
      <c r="B18" s="22">
        <f>Förutsättningar!B20*IF(B$9=1,'Ptal cykel'!B9,(IF(B$9=2,'Ptal cykel'!C9,(IF(B$9=3,'Ptal cykel'!D9,(IF(B$9=4,'Ptal cykel'!E9,(IF(B$9=5,'Ptal cykel'!F9,0)))))))))</f>
        <v>0</v>
      </c>
      <c r="C18" t="s">
        <v>91</v>
      </c>
    </row>
    <row r="19" spans="1:4" x14ac:dyDescent="0.35">
      <c r="A19" s="19" t="s">
        <v>177</v>
      </c>
      <c r="B19" s="22">
        <f>Förutsättningar!B21*IF(B$9=1,'Ptal cykel'!B10,(IF(B$9=2,'Ptal cykel'!C10,(IF(B$9=3,'Ptal cykel'!D10,(IF(B$9=4,'Ptal cykel'!E10,(IF(B$9=5,'Ptal cykel'!F10,0)))))))))</f>
        <v>0</v>
      </c>
    </row>
    <row r="20" spans="1:4" x14ac:dyDescent="0.35">
      <c r="A20" s="19" t="s">
        <v>178</v>
      </c>
      <c r="B20" s="22">
        <f>Förutsättningar!B22*IF(B$9=1,'Ptal cykel'!B11,(IF(B$9=2,'Ptal cykel'!C11,(IF(B$9=3,'Ptal cykel'!D11,(IF(B$9=4,'Ptal cykel'!E11,(IF(B$9=5,'Ptal cykel'!F11,0)))))))))</f>
        <v>0</v>
      </c>
    </row>
    <row r="21" spans="1:4" x14ac:dyDescent="0.35">
      <c r="A21" s="19" t="s">
        <v>179</v>
      </c>
      <c r="B21" s="22">
        <f>Förutsättningar!B23*IF(B$9=1,'Ptal cykel'!B12,(IF(B$9=2,'Ptal cykel'!C12,(IF(B$9=3,'Ptal cykel'!D12,(IF(B$9=4,'Ptal cykel'!E12,(IF(B$9=5,'Ptal cykel'!F12,0)))))))))</f>
        <v>0</v>
      </c>
    </row>
    <row r="23" spans="1:4" x14ac:dyDescent="0.35">
      <c r="A23" s="19" t="s">
        <v>176</v>
      </c>
      <c r="B23" s="22">
        <f>Förutsättningar!B20*IF(B$9=1,'Ptal cykel'!B14,(IF(B$9=2,'Ptal cykel'!C14,(IF(B$9=3,'Ptal cykel'!D14,(IF(B$9=4,'Ptal cykel'!E14,(IF(B$9=5,'Ptal cykel'!F14,0)))))))))</f>
        <v>0</v>
      </c>
      <c r="C23" t="s">
        <v>90</v>
      </c>
    </row>
    <row r="24" spans="1:4" x14ac:dyDescent="0.35">
      <c r="A24" s="19" t="s">
        <v>177</v>
      </c>
      <c r="B24" s="22">
        <f>Förutsättningar!B21*IF(B$9=1,'Ptal cykel'!B15,(IF(B$9=2,'Ptal cykel'!C15,(IF(B$9=3,'Ptal cykel'!D15,(IF(B$9=4,'Ptal cykel'!E15,(IF(B$9=5,'Ptal cykel'!F15,0)))))))))</f>
        <v>0</v>
      </c>
      <c r="C24" s="19"/>
      <c r="D24" s="19"/>
    </row>
    <row r="25" spans="1:4" x14ac:dyDescent="0.35">
      <c r="A25" s="19" t="s">
        <v>178</v>
      </c>
      <c r="B25" s="22">
        <f>Förutsättningar!B22*IF(B$9=1,'Ptal cykel'!B16,(IF(B$9=2,'Ptal cykel'!C16,(IF(B$9=3,'Ptal cykel'!D16,(IF(B$9=4,'Ptal cykel'!E16,(IF(B$9=5,'Ptal cykel'!F16,0)))))))))</f>
        <v>0</v>
      </c>
      <c r="C25" s="19"/>
      <c r="D25" s="19"/>
    </row>
    <row r="26" spans="1:4" x14ac:dyDescent="0.35">
      <c r="A26" s="19" t="s">
        <v>179</v>
      </c>
      <c r="B26" s="22">
        <f>Förutsättningar!B23*IF(B$9=1,'Ptal cykel'!B17,(IF(B$9=2,'Ptal cykel'!C17,(IF(B$9=3,'Ptal cykel'!D17,(IF(B$9=4,'Ptal cykel'!E17,(IF(B$9=5,'Ptal cykel'!F17,0)))))))))</f>
        <v>0</v>
      </c>
      <c r="C26" s="19"/>
      <c r="D26" s="19"/>
    </row>
    <row r="27" spans="1:4" x14ac:dyDescent="0.35">
      <c r="C27" s="19"/>
      <c r="D27" s="19"/>
    </row>
    <row r="28" spans="1:4" ht="29" x14ac:dyDescent="0.35">
      <c r="A28" s="21" t="s">
        <v>84</v>
      </c>
      <c r="B28" s="20">
        <f>ROUNDUP(SUM(B18:B21),0)</f>
        <v>0</v>
      </c>
      <c r="C28" t="s">
        <v>91</v>
      </c>
      <c r="D28" s="19"/>
    </row>
    <row r="29" spans="1:4" x14ac:dyDescent="0.35">
      <c r="A29" s="21"/>
      <c r="B29" s="20">
        <f>ROUNDUP(SUM(B23:B26),0)</f>
        <v>0</v>
      </c>
      <c r="C29" t="s">
        <v>90</v>
      </c>
    </row>
    <row r="31" spans="1:4" ht="17.5" x14ac:dyDescent="0.35">
      <c r="A31" s="17" t="s">
        <v>165</v>
      </c>
    </row>
    <row r="32" spans="1:4" x14ac:dyDescent="0.35">
      <c r="A32" t="s">
        <v>88</v>
      </c>
      <c r="B32" s="20">
        <f>ROUNDUP(Förutsättningar!B26/1000*IF(B9=1,'Ptal cykel'!B18,(IF(B9=2,'Ptal cykel'!C18,(IF(B9=3,'Ptal cykel'!D18,(IF(B9=4,'Ptal cykel'!E18,(IF(B9=5,'Ptal cykel'!F18,0))))))))),0)</f>
        <v>0</v>
      </c>
      <c r="C32" t="s">
        <v>90</v>
      </c>
    </row>
    <row r="34" spans="1:3" ht="17.5" x14ac:dyDescent="0.35">
      <c r="A34" s="17" t="s">
        <v>166</v>
      </c>
    </row>
    <row r="35" spans="1:3" x14ac:dyDescent="0.35">
      <c r="A35" t="s">
        <v>89</v>
      </c>
      <c r="B35" t="s">
        <v>276</v>
      </c>
    </row>
    <row r="37" spans="1:3" ht="17.5" x14ac:dyDescent="0.35">
      <c r="A37" s="17" t="s">
        <v>85</v>
      </c>
    </row>
    <row r="38" spans="1:3" x14ac:dyDescent="0.35">
      <c r="A38" t="s">
        <v>95</v>
      </c>
      <c r="B38" s="20">
        <f>ROUNDUP(Förutsättningar!B35/1000*IF(B$9=1,'Ptal cykel'!B20,(IF(B$9=2,'Ptal cykel'!C20,(IF(B$9=3,'Ptal cykel'!D20,(IF(B$9=4,'Ptal cykel'!E20,(IF(B$9=5,'Ptal cykel'!F20,0))))))))),0)</f>
        <v>0</v>
      </c>
      <c r="C38" t="s">
        <v>90</v>
      </c>
    </row>
    <row r="39" spans="1:3" x14ac:dyDescent="0.35">
      <c r="A39" t="s">
        <v>96</v>
      </c>
      <c r="B39" s="20">
        <f>ROUNDUP(Förutsättningar!B35/1000*IF(B$9=1,'Ptal cykel'!B19,(IF(B$9=2,'Ptal cykel'!C19,(IF(B$9=3,'Ptal cykel'!D19,(IF(B$9=4,'Ptal cykel'!E19,(IF(B$9=5,'Ptal cykel'!F19,0))))))))),0)</f>
        <v>0</v>
      </c>
      <c r="C39" t="s">
        <v>91</v>
      </c>
    </row>
    <row r="40" spans="1:3" x14ac:dyDescent="0.35">
      <c r="A40" t="s">
        <v>97</v>
      </c>
      <c r="B40" s="20">
        <f>ROUNDUP(Förutsättningar!B36/1000*IF(B$9=1,'Ptal cykel'!B22,(IF(B$9=2,'Ptal cykel'!C22,(IF(B$9=3,'Ptal cykel'!D22,(IF(B$9=4,'Ptal cykel'!E22,(IF(B$9=5,'Ptal cykel'!F22,0))))))))),0)</f>
        <v>0</v>
      </c>
      <c r="C40" t="s">
        <v>90</v>
      </c>
    </row>
    <row r="41" spans="1:3" x14ac:dyDescent="0.35">
      <c r="A41" t="s">
        <v>98</v>
      </c>
      <c r="B41" s="20">
        <f>ROUNDUP(Förutsättningar!B36/1000*IF(B$9=1,'Ptal cykel'!B21,(IF(B$9=2,'Ptal cykel'!C21,(IF(B$9=3,'Ptal cykel'!D21,(IF(B$9=4,'Ptal cykel'!E21,(IF(B$9=5,'Ptal cykel'!F21,0))))))))),0)</f>
        <v>0</v>
      </c>
      <c r="C41" t="s">
        <v>91</v>
      </c>
    </row>
    <row r="42" spans="1:3" x14ac:dyDescent="0.35">
      <c r="A42" t="s">
        <v>99</v>
      </c>
      <c r="B42" s="20">
        <f>ROUNDUP(Förutsättningar!B37/1000*IF(B$9=1,'Ptal cykel'!B29,(IF(B$9=2,'Ptal cykel'!C29,(IF(B$9=3,'Ptal cykel'!D29,(IF(B$9=4,'Ptal cykel'!E29,(IF(B$9=5,'Ptal cykel'!F29,0))))))))),0)</f>
        <v>0</v>
      </c>
      <c r="C42" t="s">
        <v>92</v>
      </c>
    </row>
    <row r="43" spans="1:3" x14ac:dyDescent="0.35">
      <c r="A43" t="s">
        <v>100</v>
      </c>
      <c r="B43" s="20">
        <f>ROUNDUP(Förutsättningar!B38/1000*IF(B$9=1,'Ptal cykel'!B30,(IF(B$9=2,'Ptal cykel'!C30,(IF(B$9=3,'Ptal cykel'!D30,(IF(B$9=4,'Ptal cykel'!E30,(IF(B$9=5,'Ptal cykel'!F30,0))))))))),0)</f>
        <v>0</v>
      </c>
      <c r="C43" t="s">
        <v>92</v>
      </c>
    </row>
    <row r="44" spans="1:3" x14ac:dyDescent="0.35">
      <c r="A44" t="s">
        <v>103</v>
      </c>
      <c r="B44" s="20">
        <f>ROUNDUP(Förutsättningar!B39/1000*IF(B$9=1,'Ptal cykel'!B23,(IF(B$9=2,'Ptal cykel'!C23,(IF(B$9=3,'Ptal cykel'!D23,(IF(B$9=4,'Ptal cykel'!E23,(IF(B$9=5,'Ptal cykel'!F23,0))))))))),0)</f>
        <v>0</v>
      </c>
      <c r="C44" t="s">
        <v>107</v>
      </c>
    </row>
    <row r="45" spans="1:3" x14ac:dyDescent="0.35">
      <c r="A45" t="s">
        <v>104</v>
      </c>
      <c r="B45" s="20">
        <f>ROUNDUP(Förutsättningar!B39/1000*IF(B$9=1,'Ptal cykel'!B24,(IF(B$9=2,'Ptal cykel'!C24,(IF(B$9=3,'Ptal cykel'!D24,(IF(B$9=4,'Ptal cykel'!E24,(IF(B$9=5,'Ptal cykel'!F24,0))))))))),0)</f>
        <v>0</v>
      </c>
      <c r="C45" t="s">
        <v>108</v>
      </c>
    </row>
    <row r="46" spans="1:3" x14ac:dyDescent="0.35">
      <c r="A46" t="s">
        <v>101</v>
      </c>
      <c r="B46" s="20">
        <f>ROUNDUP(Förutsättningar!B40/1000*IF(B$9=1,'Ptal cykel'!B25,(IF(B$9=2,'Ptal cykel'!C25,(IF(B$9=3,'Ptal cykel'!D25,(IF(B$9=4,'Ptal cykel'!E25,(IF(B$9=5,'Ptal cykel'!F25,0))))))))),0)</f>
        <v>0</v>
      </c>
      <c r="C46" t="s">
        <v>107</v>
      </c>
    </row>
    <row r="47" spans="1:3" x14ac:dyDescent="0.35">
      <c r="A47" t="s">
        <v>102</v>
      </c>
      <c r="B47" s="20">
        <f>ROUNDUP(Förutsättningar!B40/1000*IF(B$9=1,'Ptal cykel'!B26,(IF(B$9=2,'Ptal cykel'!C26,(IF(B$9=3,'Ptal cykel'!D26,(IF(B$9=4,'Ptal cykel'!E26,(IF(B$9=5,'Ptal cykel'!F26,0))))))))),0)</f>
        <v>0</v>
      </c>
      <c r="C47" t="s">
        <v>108</v>
      </c>
    </row>
    <row r="48" spans="1:3" x14ac:dyDescent="0.35">
      <c r="A48" t="s">
        <v>105</v>
      </c>
      <c r="B48" s="20">
        <f>ROUNDUP(Förutsättningar!B41/1000*IF(B$9=1,'Ptal cykel'!B27,(IF(B$9=2,'Ptal cykel'!C27,(IF(B$9=3,'Ptal cykel'!D27,(IF(B$9=4,'Ptal cykel'!E27,(IF(B$9=5,'Ptal cykel'!F27,0))))))))),0)</f>
        <v>0</v>
      </c>
      <c r="C48" t="s">
        <v>107</v>
      </c>
    </row>
    <row r="49" spans="1:3" x14ac:dyDescent="0.35">
      <c r="A49" t="s">
        <v>106</v>
      </c>
      <c r="B49" s="20">
        <f>ROUNDUP(Förutsättningar!B41/1000*IF(B$9=1,'Ptal cykel'!B28,(IF(B$9=2,'Ptal cykel'!C28,(IF(B$9=3,'Ptal cykel'!D28,(IF(B$9=4,'Ptal cykel'!E28,(IF(B$9=5,'Ptal cykel'!F28,0))))))))),0)</f>
        <v>0</v>
      </c>
      <c r="C49" t="s">
        <v>109</v>
      </c>
    </row>
    <row r="50" spans="1:3" x14ac:dyDescent="0.35">
      <c r="A50" t="s">
        <v>205</v>
      </c>
      <c r="B50" s="20">
        <f>ROUNDUP(Förutsättningar!B42/1000*IF(B$9=1,'Ptal cykel'!B31,(IF(B$9=2,'Ptal cykel'!C31,(IF(B$9=3,'Ptal cykel'!D31,(IF(B$9=4,'Ptal cykel'!E31,(IF(B$9=5,'Ptal cykel'!F31,0))))))))),0)</f>
        <v>0</v>
      </c>
      <c r="C50" t="s">
        <v>92</v>
      </c>
    </row>
    <row r="51" spans="1:3" x14ac:dyDescent="0.35">
      <c r="A51" t="s">
        <v>206</v>
      </c>
      <c r="B51" s="20">
        <f>ROUNDUP(Förutsättningar!B43/1000*IF(B$9=1,'Ptal cykel'!B32,(IF(B$9=2,'Ptal cykel'!C32,(IF(B$9=3,'Ptal cykel'!D32,(IF(B$9=4,'Ptal cykel'!E32,(IF(B$9=5,'Ptal cykel'!F32,0))))))))),0)</f>
        <v>0</v>
      </c>
      <c r="C51" t="s">
        <v>92</v>
      </c>
    </row>
    <row r="52" spans="1:3" x14ac:dyDescent="0.35">
      <c r="A52" t="s">
        <v>207</v>
      </c>
      <c r="B52" s="20">
        <f>ROUNDUP(Förutsättningar!B44/1000*IF(B$9=1,'Ptal cykel'!B32,(IF(B$9=2,'Ptal cykel'!C32,(IF(B$9=3,'Ptal cykel'!D32,(IF(B$9=4,'Ptal cykel'!E32,(IF(B$9=5,'Ptal cykel'!F32,0))))))))),0)</f>
        <v>0</v>
      </c>
      <c r="C52" t="s">
        <v>92</v>
      </c>
    </row>
  </sheetData>
  <sheetProtection algorithmName="SHA-512" hashValue="ujKadwy6GE60k1zCRIHqysynLR+lMv6TTpvTK1/lHmPv3/EgyGCx8ySLoDYWw0ohiEUhJQmovP9uqrGsqP/jCg==" saltValue="KnCge72rrZVPKV2stKawsw==" spinCount="100000" sheet="1" objects="1" scenarios="1"/>
  <conditionalFormatting sqref="B12">
    <cfRule type="cellIs" dxfId="116" priority="17" operator="greaterThan">
      <formula>0</formula>
    </cfRule>
    <cfRule type="cellIs" dxfId="115" priority="18" operator="greaterThan">
      <formula>0</formula>
    </cfRule>
  </conditionalFormatting>
  <conditionalFormatting sqref="B15:B16">
    <cfRule type="cellIs" dxfId="114" priority="15" operator="greaterThan">
      <formula>0</formula>
    </cfRule>
    <cfRule type="cellIs" dxfId="113" priority="16" operator="greaterThan">
      <formula>0</formula>
    </cfRule>
  </conditionalFormatting>
  <conditionalFormatting sqref="B28:B29">
    <cfRule type="cellIs" dxfId="112" priority="9" operator="greaterThan">
      <formula>0</formula>
    </cfRule>
    <cfRule type="cellIs" dxfId="111" priority="10" operator="greaterThan">
      <formula>0</formula>
    </cfRule>
  </conditionalFormatting>
  <conditionalFormatting sqref="B32:B33">
    <cfRule type="cellIs" dxfId="110" priority="7" operator="greaterThan">
      <formula>0</formula>
    </cfRule>
    <cfRule type="cellIs" dxfId="109" priority="8" operator="greaterThan">
      <formula>0</formula>
    </cfRule>
  </conditionalFormatting>
  <conditionalFormatting sqref="B38:B52">
    <cfRule type="cellIs" dxfId="108" priority="5" operator="greaterThan">
      <formula>0</formula>
    </cfRule>
    <cfRule type="cellIs" dxfId="107" priority="6" operator="greaterThan">
      <formula>0</formula>
    </cfRule>
  </conditionalFormatting>
  <conditionalFormatting sqref="I6">
    <cfRule type="cellIs" dxfId="106" priority="3" operator="greaterThan">
      <formula>0</formula>
    </cfRule>
    <cfRule type="cellIs" dxfId="105" priority="4" operator="greaterThan">
      <formula>0</formula>
    </cfRule>
  </conditionalFormatting>
  <conditionalFormatting sqref="A7">
    <cfRule type="cellIs" dxfId="104" priority="1" operator="greaterThan">
      <formula>0</formula>
    </cfRule>
    <cfRule type="cellIs" dxfId="103" priority="2" operator="greaterThan">
      <formula>0</formula>
    </cfRule>
  </conditionalFormatting>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4:N65"/>
  <sheetViews>
    <sheetView zoomScaleNormal="100" workbookViewId="0">
      <selection activeCell="C3" sqref="C3"/>
    </sheetView>
  </sheetViews>
  <sheetFormatPr defaultRowHeight="14.5" x14ac:dyDescent="0.35"/>
  <cols>
    <col min="1" max="1" width="55.08984375" customWidth="1"/>
    <col min="2" max="2" width="8.08984375" hidden="1" customWidth="1"/>
  </cols>
  <sheetData>
    <row r="4" spans="1:6" ht="17.5" x14ac:dyDescent="0.35">
      <c r="A4" s="17" t="s">
        <v>143</v>
      </c>
      <c r="E4" t="s">
        <v>254</v>
      </c>
    </row>
    <row r="5" spans="1:6" x14ac:dyDescent="0.35">
      <c r="A5" s="18" t="s">
        <v>112</v>
      </c>
      <c r="E5" s="20">
        <f>(IF(C31&gt;0,C31,(IF(C13&gt;0,C13,C17))))+(IF(C34&gt;0,(C34+C35),IF(C35&gt;0,(C34+C35),C36)))+C39+C40</f>
        <v>0</v>
      </c>
      <c r="F5" t="s">
        <v>233</v>
      </c>
    </row>
    <row r="6" spans="1:6" x14ac:dyDescent="0.35">
      <c r="A6" s="20" t="s">
        <v>113</v>
      </c>
      <c r="E6" s="20">
        <f>C64</f>
        <v>0</v>
      </c>
      <c r="F6" t="s">
        <v>232</v>
      </c>
    </row>
    <row r="7" spans="1:6" x14ac:dyDescent="0.35">
      <c r="A7" s="20" t="s">
        <v>291</v>
      </c>
      <c r="E7" t="s">
        <v>255</v>
      </c>
    </row>
    <row r="8" spans="1:6" x14ac:dyDescent="0.35">
      <c r="E8" s="20">
        <f>(IF(C30&gt;0,C30,(IF(C12&gt;0,C12,C16))))+(IF(C34&gt;0,(C34+C35),IF(C35&gt;0,(C34+C35),C36)))+C39+C40</f>
        <v>0</v>
      </c>
      <c r="F8" t="s">
        <v>233</v>
      </c>
    </row>
    <row r="9" spans="1:6" x14ac:dyDescent="0.35">
      <c r="A9" t="s">
        <v>79</v>
      </c>
      <c r="B9" s="20">
        <f>Förutsättningar!B11</f>
        <v>2</v>
      </c>
      <c r="C9" s="20">
        <f>B9</f>
        <v>2</v>
      </c>
      <c r="E9" s="20">
        <f>C63</f>
        <v>0</v>
      </c>
      <c r="F9" t="s">
        <v>232</v>
      </c>
    </row>
    <row r="11" spans="1:6" ht="17.5" x14ac:dyDescent="0.35">
      <c r="A11" s="17" t="s">
        <v>169</v>
      </c>
    </row>
    <row r="12" spans="1:6" x14ac:dyDescent="0.35">
      <c r="A12" t="s">
        <v>116</v>
      </c>
      <c r="B12" s="20">
        <f>Förutsättningar!B15/1000*IF(B$9=1,'Ptal bil'!B7,(IF(B$9=2,'Ptal bil'!C7,(IF(B$9=3,'Ptal bil'!D7,(IF(B$9=4,'Ptal bil'!E7,(IF(B$9=5,'Ptal bil'!F7,0)))))))))</f>
        <v>0</v>
      </c>
      <c r="C12" s="20">
        <f>ROUNDUP(B12,0)</f>
        <v>0</v>
      </c>
      <c r="D12" t="s">
        <v>118</v>
      </c>
    </row>
    <row r="13" spans="1:6" x14ac:dyDescent="0.35">
      <c r="B13" s="20">
        <f>Förutsättningar!B15/1000*IF(B$9=1,'Ptal bil'!B8,(IF(B$9=2,'Ptal bil'!C8,(IF(B$9=3,'Ptal bil'!D8,(IF(B$9=4,'Ptal bil'!E8,(IF(B$9=5,'Ptal bil'!F8,0)))))))))</f>
        <v>0</v>
      </c>
      <c r="C13" s="20">
        <f>ROUNDUP(B13,0)</f>
        <v>0</v>
      </c>
      <c r="D13" t="s">
        <v>117</v>
      </c>
    </row>
    <row r="15" spans="1:6" x14ac:dyDescent="0.35">
      <c r="A15" s="19" t="s">
        <v>62</v>
      </c>
    </row>
    <row r="16" spans="1:6" ht="29" x14ac:dyDescent="0.35">
      <c r="A16" s="21" t="s">
        <v>129</v>
      </c>
      <c r="B16" s="20">
        <f>Förutsättningar!B17*IF(B$9=1,'Ptal bil'!B9,(IF(B$9=2,'Ptal bil'!C9,(IF(B$9=3,'Ptal bil'!D9,(IF(B$9=4,'Ptal bil'!E9,(IF(B$9=5,'Ptal bil'!F9,0)))))))))</f>
        <v>0</v>
      </c>
      <c r="C16" s="20">
        <f>ROUNDUP(B16,0)</f>
        <v>0</v>
      </c>
      <c r="D16" t="s">
        <v>118</v>
      </c>
    </row>
    <row r="17" spans="1:14" x14ac:dyDescent="0.35">
      <c r="A17" s="21"/>
      <c r="B17" s="20">
        <f>Förutsättningar!B17*IF(B$9=1,'Ptal bil'!B14,(IF(B$9=2,'Ptal bil'!C14,(IF(B$9=3,'Ptal bil'!D14,(IF(B$9=4,'Ptal bil'!E14,(IF(B$9=5,'Ptal bil'!F14,0)))))))))</f>
        <v>0</v>
      </c>
      <c r="C17" s="20">
        <f>ROUNDUP(B17,0)</f>
        <v>0</v>
      </c>
      <c r="D17" t="s">
        <v>117</v>
      </c>
    </row>
    <row r="18" spans="1:14" x14ac:dyDescent="0.35">
      <c r="A18" s="21"/>
    </row>
    <row r="19" spans="1:14" x14ac:dyDescent="0.35">
      <c r="A19" s="19" t="s">
        <v>62</v>
      </c>
      <c r="I19" t="s">
        <v>273</v>
      </c>
      <c r="M19" s="20">
        <f>(IF(C31&gt;0,3,(IF(C13&gt;0,1,(IF(C17&gt;0,2,0))))))</f>
        <v>0</v>
      </c>
      <c r="N19" t="s">
        <v>234</v>
      </c>
    </row>
    <row r="20" spans="1:14" x14ac:dyDescent="0.35">
      <c r="A20" s="19" t="s">
        <v>80</v>
      </c>
      <c r="B20" s="22">
        <f>Förutsättningar!B20*IF(B$9=1,'Ptal bil'!B10,(IF(B$9=2,'Ptal bil'!C10,(IF(B$9=3,'Ptal bil'!D10,(IF(B$9=4,'Ptal bil'!E10,(IF(B$9=5,'Ptal bil'!F10,0)))))))))</f>
        <v>0</v>
      </c>
      <c r="C20" s="22">
        <f>B20</f>
        <v>0</v>
      </c>
      <c r="D20" t="s">
        <v>118</v>
      </c>
      <c r="E20" s="19"/>
    </row>
    <row r="21" spans="1:14" x14ac:dyDescent="0.35">
      <c r="A21" s="19" t="s">
        <v>81</v>
      </c>
      <c r="B21" s="22">
        <f>Förutsättningar!B21*IF(B$9=1,'Ptal bil'!B11,(IF(B$9=2,'Ptal bil'!C11,(IF(B$9=3,'Ptal bil'!D11,(IF(B$9=4,'Ptal bil'!E11,(IF(B$9=5,'Ptal bil'!F11,0)))))))))</f>
        <v>0</v>
      </c>
      <c r="C21" s="22">
        <f t="shared" ref="C21:C23" si="0">B21</f>
        <v>0</v>
      </c>
      <c r="D21" s="19"/>
      <c r="E21" s="19"/>
    </row>
    <row r="22" spans="1:14" x14ac:dyDescent="0.35">
      <c r="A22" s="19" t="s">
        <v>82</v>
      </c>
      <c r="B22" s="22">
        <f>Förutsättningar!B22*IF(B$9=1,'Ptal bil'!B12,(IF(B$9=2,'Ptal bil'!C12,(IF(B$9=3,'Ptal bil'!D12,(IF(B$9=4,'Ptal bil'!E12,(IF(B$9=5,'Ptal bil'!F12,0)))))))))</f>
        <v>0</v>
      </c>
      <c r="C22" s="22">
        <f t="shared" si="0"/>
        <v>0</v>
      </c>
      <c r="D22" s="19"/>
      <c r="E22" s="19"/>
    </row>
    <row r="23" spans="1:14" x14ac:dyDescent="0.35">
      <c r="A23" s="19" t="s">
        <v>83</v>
      </c>
      <c r="B23" s="22">
        <f>Förutsättningar!B23*IF(B$9=1,'Ptal bil'!B13,(IF(B$9=2,'Ptal bil'!C13,(IF(B$9=3,'Ptal bil'!D13,(IF(B$9=4,'Ptal bil'!E13,(IF(B$9=5,'Ptal bil'!F13,0)))))))))</f>
        <v>0</v>
      </c>
      <c r="C23" s="22">
        <f t="shared" si="0"/>
        <v>0</v>
      </c>
      <c r="D23" s="19"/>
      <c r="E23" s="19"/>
    </row>
    <row r="24" spans="1:14" x14ac:dyDescent="0.35">
      <c r="M24" s="26"/>
    </row>
    <row r="25" spans="1:14" x14ac:dyDescent="0.35">
      <c r="A25" s="19" t="s">
        <v>80</v>
      </c>
      <c r="B25" s="22">
        <f>Förutsättningar!B20*IF(B$9=1,'Ptal bil'!B15,(IF(B$9=2,'Ptal bil'!C15,(IF(B$9=3,'Ptal bil'!D15,(IF(B$9=4,'Ptal bil'!E15,(IF(B$9=5,'Ptal bil'!F15,0)))))))))</f>
        <v>0</v>
      </c>
      <c r="C25" s="22">
        <f>B25</f>
        <v>0</v>
      </c>
      <c r="D25" t="s">
        <v>117</v>
      </c>
      <c r="E25" s="19"/>
    </row>
    <row r="26" spans="1:14" x14ac:dyDescent="0.35">
      <c r="A26" s="19" t="s">
        <v>81</v>
      </c>
      <c r="B26" s="22">
        <f>Förutsättningar!B21*IF(B$9=1,'Ptal bil'!B16,(IF(B$9=2,'Ptal bil'!C16,(IF(B$9=3,'Ptal bil'!D16,(IF(B$9=4,'Ptal bil'!E16,(IF(B$9=5,'Ptal bil'!F16,0)))))))))</f>
        <v>0</v>
      </c>
      <c r="C26" s="22">
        <f t="shared" ref="C26:C28" si="1">B26</f>
        <v>0</v>
      </c>
      <c r="D26" s="19"/>
      <c r="E26" s="19"/>
    </row>
    <row r="27" spans="1:14" x14ac:dyDescent="0.35">
      <c r="A27" s="19" t="s">
        <v>82</v>
      </c>
      <c r="B27" s="22">
        <f>Förutsättningar!B22*IF(B$9=1,'Ptal bil'!B17,(IF(B$9=2,'Ptal bil'!C17,(IF(B$9=3,'Ptal bil'!D17,(IF(B$9=4,'Ptal bil'!E17,(IF(B$9=5,'Ptal bil'!F17,0)))))))))</f>
        <v>0</v>
      </c>
      <c r="C27" s="22">
        <f t="shared" si="1"/>
        <v>0</v>
      </c>
      <c r="D27" s="19"/>
      <c r="E27" s="19"/>
    </row>
    <row r="28" spans="1:14" x14ac:dyDescent="0.35">
      <c r="A28" s="19" t="s">
        <v>83</v>
      </c>
      <c r="B28" s="22">
        <f>Förutsättningar!B23*IF(B$9=1,'Ptal bil'!B18,(IF(B$9=2,'Ptal bil'!C18,(IF(B$9=3,'Ptal bil'!D18,(IF(B$9=4,'Ptal bil'!E18,(IF(B$9=5,'Ptal bil'!F18,0)))))))))</f>
        <v>0</v>
      </c>
      <c r="C28" s="22">
        <f t="shared" si="1"/>
        <v>0</v>
      </c>
      <c r="D28" s="19"/>
      <c r="E28" s="19"/>
    </row>
    <row r="29" spans="1:14" x14ac:dyDescent="0.35">
      <c r="A29" s="19"/>
      <c r="D29" s="19"/>
      <c r="E29" s="19"/>
    </row>
    <row r="30" spans="1:14" ht="29" x14ac:dyDescent="0.35">
      <c r="A30" s="21" t="s">
        <v>119</v>
      </c>
      <c r="B30" s="20">
        <f>SUM(B20:B23)</f>
        <v>0</v>
      </c>
      <c r="C30" s="20">
        <f>ROUNDUP(B30,0)</f>
        <v>0</v>
      </c>
      <c r="D30" t="s">
        <v>118</v>
      </c>
    </row>
    <row r="31" spans="1:14" ht="29" x14ac:dyDescent="0.35">
      <c r="A31" s="21" t="s">
        <v>119</v>
      </c>
      <c r="B31" s="20">
        <f>SUM(B25:B28)</f>
        <v>0</v>
      </c>
      <c r="C31" s="20">
        <f>ROUNDUP(B31,0)</f>
        <v>0</v>
      </c>
      <c r="D31" t="s">
        <v>117</v>
      </c>
    </row>
    <row r="32" spans="1:14" x14ac:dyDescent="0.35">
      <c r="A32" s="21"/>
    </row>
    <row r="33" spans="1:4" ht="17.5" x14ac:dyDescent="0.35">
      <c r="A33" s="17" t="s">
        <v>167</v>
      </c>
    </row>
    <row r="34" spans="1:4" ht="29" x14ac:dyDescent="0.35">
      <c r="A34" s="21" t="s">
        <v>132</v>
      </c>
      <c r="B34" s="20">
        <f>Förutsättningar!B27*IF(B$9=1,'Ptal bil'!B19,(IF('Bil grundtal'!B$9=2,'Ptal bil'!C19,(IF(B$9=3,'Ptal bil'!D19,(IF(B$9=4,'Ptal bil'!E19,(IF(B$9=5,'Ptal bil'!F19,0)))))))))</f>
        <v>0</v>
      </c>
      <c r="C34" s="20">
        <f>ROUNDUP(B34,0)</f>
        <v>0</v>
      </c>
      <c r="D34" s="32" t="s">
        <v>117</v>
      </c>
    </row>
    <row r="35" spans="1:4" ht="29" x14ac:dyDescent="0.35">
      <c r="A35" s="21" t="s">
        <v>131</v>
      </c>
      <c r="B35" s="20">
        <f>Förutsättningar!B28*IF(B$9=1,'Ptal bil'!B20,(IF('Bil grundtal'!B$9=2,'Ptal bil'!C20,(IF(B$9=3,'Ptal bil'!D20,(IF(B$9=4,'Ptal bil'!E20,(IF(B$9=5,'Ptal bil'!F20,0)))))))))</f>
        <v>0</v>
      </c>
      <c r="C35" s="20">
        <f>ROUNDUP(B35,0)</f>
        <v>0</v>
      </c>
      <c r="D35" t="s">
        <v>117</v>
      </c>
    </row>
    <row r="36" spans="1:4" x14ac:dyDescent="0.35">
      <c r="A36" t="s">
        <v>130</v>
      </c>
      <c r="B36" s="20">
        <f>Förutsättningar!B26/1000*IF(B$9=1,'Ptal bil'!B21,(IF('Bil grundtal'!B$9=2,'Ptal bil'!C21,(IF(B$9=3,'Ptal bil'!D21,(IF(B$9=4,'Ptal bil'!E21,(IF(B$9=5,'Ptal bil'!F21,0)))))))))</f>
        <v>0</v>
      </c>
      <c r="C36" s="20">
        <f>ROUNDUP(B36,0)</f>
        <v>0</v>
      </c>
      <c r="D36" t="s">
        <v>117</v>
      </c>
    </row>
    <row r="38" spans="1:4" ht="17.5" x14ac:dyDescent="0.35">
      <c r="A38" s="17" t="s">
        <v>168</v>
      </c>
    </row>
    <row r="39" spans="1:4" ht="29" x14ac:dyDescent="0.35">
      <c r="A39" s="21" t="s">
        <v>133</v>
      </c>
      <c r="B39" s="20">
        <f>Förutsättningar!B31*IF(B$9=1,'Ptal bil'!B22,(IF(B$9=2,'Ptal bil'!C22,(IF(B$9=3,'Ptal bil'!D22,(IF(B$9=4,'Ptal bil'!E22,(IF(B$9=5,'Ptal bil'!F22,0)))))))))</f>
        <v>0</v>
      </c>
      <c r="C39" s="20">
        <f>ROUNDUP(B39,0)</f>
        <v>0</v>
      </c>
    </row>
    <row r="40" spans="1:4" ht="29" x14ac:dyDescent="0.35">
      <c r="A40" s="21" t="s">
        <v>134</v>
      </c>
      <c r="B40" s="20">
        <f>Förutsättningar!B32*IF(B$9=1,'Ptal bil'!B23,(IF(B$9=2,'Ptal bil'!C23,(IF(B$9=3,'Ptal bil'!D23,(IF(B$9=4,'Ptal bil'!E23,(IF(B$9=5,'Ptal bil'!F23,0)))))))))</f>
        <v>0</v>
      </c>
      <c r="C40" s="20">
        <f>ROUNDUP(B40,0)</f>
        <v>0</v>
      </c>
    </row>
    <row r="42" spans="1:4" ht="17.5" x14ac:dyDescent="0.35">
      <c r="A42" s="17" t="s">
        <v>127</v>
      </c>
    </row>
    <row r="43" spans="1:4" x14ac:dyDescent="0.35">
      <c r="A43" t="s">
        <v>120</v>
      </c>
      <c r="B43" s="20">
        <f>Förutsättningar!B35/1000*IF(B$9=1,'Ptal bil'!B25,(IF(B$9=2,'Ptal bil'!C25,(IF(B$9=3,'Ptal bil'!D25,(IF(B$9=4,'Ptal bil'!E25,(IF(B$9=5,'Ptal bil'!F25,0)))))))))</f>
        <v>0</v>
      </c>
      <c r="C43" s="20">
        <f>ROUNDUP(B43,0)</f>
        <v>0</v>
      </c>
      <c r="D43" t="s">
        <v>117</v>
      </c>
    </row>
    <row r="44" spans="1:4" x14ac:dyDescent="0.35">
      <c r="A44" t="s">
        <v>121</v>
      </c>
      <c r="B44" s="20">
        <f>Förutsättningar!B35/1000*IF(B$9=1,'Ptal bil'!B24,(IF(B$9=2,'Ptal bil'!C24,(IF(B$9=3,'Ptal bil'!D24,(IF(B$9=4,'Ptal bil'!E24,(IF(B$9=5,'Ptal bil'!F24,0)))))))))</f>
        <v>0</v>
      </c>
      <c r="C44" s="20">
        <f>ROUNDUP(B44,0)</f>
        <v>0</v>
      </c>
      <c r="D44" t="s">
        <v>118</v>
      </c>
    </row>
    <row r="46" spans="1:4" x14ac:dyDescent="0.35">
      <c r="A46" t="s">
        <v>122</v>
      </c>
      <c r="B46" s="20">
        <f>Förutsättningar!B36/1000*IF(B$9=1,'Ptal bil'!B27,(IF(B$9=2,'Ptal bil'!C27,(IF(B$9=3,'Ptal bil'!D27,(IF(B$9=4,'Ptal bil'!E27,(IF(B$9=5,'Ptal bil'!F27,0)))))))))</f>
        <v>0</v>
      </c>
      <c r="C46" s="20">
        <f>ROUNDUP(B46,0)</f>
        <v>0</v>
      </c>
      <c r="D46" t="s">
        <v>117</v>
      </c>
    </row>
    <row r="47" spans="1:4" x14ac:dyDescent="0.35">
      <c r="A47" t="s">
        <v>123</v>
      </c>
      <c r="B47" s="20">
        <f>Förutsättningar!B36/1000*IF(B$9=1,'Ptal bil'!B26,(IF(B$9=2,'Ptal bil'!C26,(IF(B$9=3,'Ptal bil'!D26,(IF(B$9=4,'Ptal bil'!E26,(IF(B$9=5,'Ptal bil'!F26,0)))))))))</f>
        <v>0</v>
      </c>
      <c r="C47" s="20">
        <f>ROUNDUP(B47,0)</f>
        <v>0</v>
      </c>
      <c r="D47" t="s">
        <v>118</v>
      </c>
    </row>
    <row r="49" spans="1:4" x14ac:dyDescent="0.35">
      <c r="A49" t="s">
        <v>135</v>
      </c>
      <c r="B49" s="20">
        <f>Förutsättningar!B37/1000*IF(B$9=1,'Ptal bil'!B30,(IF(B$9=2,'Ptal bil'!C30,(IF(B$9=3,'Ptal bil'!D30,(IF(B$9=4,'Ptal bil'!E30,(IF(B$9=5,'Ptal bil'!F30,0)))))))))</f>
        <v>0</v>
      </c>
      <c r="C49" s="20">
        <f>ROUNDUP(B49,0)</f>
        <v>0</v>
      </c>
      <c r="D49" t="s">
        <v>139</v>
      </c>
    </row>
    <row r="50" spans="1:4" x14ac:dyDescent="0.35">
      <c r="A50" t="s">
        <v>136</v>
      </c>
      <c r="B50" s="20">
        <f>Förutsättningar!B37/1000*IF(B$9=1,'Ptal bil'!B31,(IF(B$9=2,'Ptal bil'!C31,(IF(B$9=3,'Ptal bil'!D31,(IF(B$9=4,'Ptal bil'!E31,(IF(B$9=5,'Ptal bil'!F31,0)))))))))</f>
        <v>0</v>
      </c>
      <c r="C50" s="20">
        <f>ROUNDUP(B50,0)</f>
        <v>0</v>
      </c>
      <c r="D50" t="s">
        <v>140</v>
      </c>
    </row>
    <row r="52" spans="1:4" x14ac:dyDescent="0.35">
      <c r="A52" t="s">
        <v>137</v>
      </c>
      <c r="B52" s="20">
        <f>Förutsättningar!B38/1000*IF(B$9=1,'Ptal bil'!B32,(IF(B$9=2,'Ptal bil'!C32,(IF(B$9=3,'Ptal bil'!D32,(IF(B$9=4,'Ptal bil'!E32,(IF(B$9=5,'Ptal bil'!F32,0)))))))))</f>
        <v>0</v>
      </c>
      <c r="C52" s="20">
        <f>ROUNDUP(B52,0)</f>
        <v>0</v>
      </c>
      <c r="D52" t="s">
        <v>139</v>
      </c>
    </row>
    <row r="53" spans="1:4" x14ac:dyDescent="0.35">
      <c r="A53" t="s">
        <v>138</v>
      </c>
      <c r="B53" s="20">
        <f>Förutsättningar!B38/1000*IF(B$9=1,'Ptal bil'!B33,(IF(B$9=2,'Ptal bil'!C33,(IF(B$9=3,'Ptal bil'!D33,(IF(B$9=4,'Ptal bil'!E33,(IF(B$9=5,'Ptal bil'!F33,0)))))))))</f>
        <v>0</v>
      </c>
      <c r="C53" s="20">
        <f>ROUNDUP(B53,0)</f>
        <v>0</v>
      </c>
      <c r="D53" t="s">
        <v>140</v>
      </c>
    </row>
    <row r="55" spans="1:4" x14ac:dyDescent="0.35">
      <c r="A55" t="s">
        <v>124</v>
      </c>
      <c r="B55" s="20">
        <f>Förutsättningar!B39/1000*IF(B$9=1,'Ptal bil'!B28,(IF(B$9=2,'Ptal bil'!C28,(IF(B$9=3,'Ptal bil'!D28,(IF(B$9=4,'Ptal bil'!E28,(IF(B$9=5,'Ptal bil'!F28,0)))))))))</f>
        <v>0</v>
      </c>
      <c r="C55" s="20">
        <f>ROUNDUP(B55,0)</f>
        <v>0</v>
      </c>
      <c r="D55" t="s">
        <v>139</v>
      </c>
    </row>
    <row r="56" spans="1:4" x14ac:dyDescent="0.35">
      <c r="A56" t="s">
        <v>125</v>
      </c>
      <c r="B56" s="20">
        <f>Förutsättningar!B40/1000*IF(B$9=1,'Ptal bil'!B28,(IF(B$9=2,'Ptal bil'!C28,(IF(B$9=3,'Ptal bil'!D28,(IF(B$9=4,'Ptal bil'!E28,(IF(B$9=5,'Ptal bil'!F28,0)))))))))</f>
        <v>0</v>
      </c>
      <c r="C56" s="20">
        <f>ROUNDUP(B56,0)</f>
        <v>0</v>
      </c>
      <c r="D56" t="s">
        <v>139</v>
      </c>
    </row>
    <row r="57" spans="1:4" x14ac:dyDescent="0.35">
      <c r="A57" t="s">
        <v>126</v>
      </c>
      <c r="B57" s="20">
        <f>Förutsättningar!B41/1000*IF(B$9=1,'Ptal bil'!B29,(IF(B$9=2,'Ptal bil'!C29,(IF(B$9=3,'Ptal bil'!D29,(IF(B$9=4,'Ptal bil'!E29,(IF(B$9=5,'Ptal bil'!F29,0)))))))))</f>
        <v>0</v>
      </c>
      <c r="C57" s="20">
        <f>ROUNDUP(B57,0)</f>
        <v>0</v>
      </c>
      <c r="D57" t="s">
        <v>139</v>
      </c>
    </row>
    <row r="59" spans="1:4" x14ac:dyDescent="0.35">
      <c r="A59" t="s">
        <v>208</v>
      </c>
      <c r="B59" s="20">
        <f>Förutsättningar!B42/1000*IF('Bil grundtal'!B$9=1,'Ptal bil'!B35,(IF(B$9=2,'Ptal bil'!C35,(IF(B$9=3,'Ptal bil'!D35,(IF(B$9=4,'Ptal bil'!E35,(IF(B$9=5,'Ptal bil'!F35,0)))))))))</f>
        <v>0</v>
      </c>
      <c r="C59" s="20">
        <f>ROUNDUP(B59,0)</f>
        <v>0</v>
      </c>
      <c r="D59" t="s">
        <v>117</v>
      </c>
    </row>
    <row r="60" spans="1:4" x14ac:dyDescent="0.35">
      <c r="A60" t="s">
        <v>209</v>
      </c>
      <c r="B60" s="20">
        <f>Förutsättningar!B43/1000*IF('Bil grundtal'!B$9=1,'Ptal bil'!B37,(IF(B$9=2,'Ptal bil'!C37,(IF(B$9=3,'Ptal bil'!D37,(IF(B$9=4,'Ptal bil'!E37,(IF(B$9=5,'Ptal bil'!F37,0)))))))))</f>
        <v>0</v>
      </c>
      <c r="C60" s="20">
        <f>ROUNDUP(B60,0)</f>
        <v>0</v>
      </c>
      <c r="D60" t="s">
        <v>117</v>
      </c>
    </row>
    <row r="61" spans="1:4" x14ac:dyDescent="0.35">
      <c r="A61" t="s">
        <v>210</v>
      </c>
      <c r="B61" s="20">
        <f>Förutsättningar!B44/1000*IF('Bil grundtal'!B$9=1,'Ptal bil'!B39,(IF(B$9=2,'Ptal bil'!C39,(IF(B$9=3,'Ptal bil'!D39,(IF(B$9=4,'Ptal bil'!E39,(IF(B$9=5,'Ptal bil'!F39,0)))))))))</f>
        <v>0</v>
      </c>
      <c r="C61" s="20">
        <f>ROUNDUP(B61,0)</f>
        <v>0</v>
      </c>
      <c r="D61" t="s">
        <v>117</v>
      </c>
    </row>
    <row r="63" spans="1:4" x14ac:dyDescent="0.35">
      <c r="A63" s="26" t="s">
        <v>171</v>
      </c>
      <c r="B63" s="20">
        <f>B44+B47+B49+B52+B55+B56+B57+B59+B60+B61</f>
        <v>0</v>
      </c>
      <c r="C63" s="20">
        <f>C44+C47+C49+C52+C55+C56+C57+C59+C60+C61</f>
        <v>0</v>
      </c>
      <c r="D63" t="s">
        <v>118</v>
      </c>
    </row>
    <row r="64" spans="1:4" x14ac:dyDescent="0.35">
      <c r="A64" s="26" t="s">
        <v>171</v>
      </c>
      <c r="B64" s="20">
        <f>B43+B46+B49+B50+B52+B53+B55+B56+B57+B59+B60+B61</f>
        <v>0</v>
      </c>
      <c r="C64" s="20">
        <f>C43+C46+C49+C50+C52+C53+C55+C56+C57+C59+C60+C61</f>
        <v>0</v>
      </c>
      <c r="D64" t="s">
        <v>117</v>
      </c>
    </row>
    <row r="65" spans="1:4" x14ac:dyDescent="0.35">
      <c r="A65" t="s">
        <v>171</v>
      </c>
      <c r="B65" s="20">
        <f>B44+B47+B49+B52+B55+B56+B57</f>
        <v>0</v>
      </c>
      <c r="C65" s="20">
        <f>C44+C47+C49+C52+C55+C56+C57</f>
        <v>0</v>
      </c>
      <c r="D65" t="s">
        <v>298</v>
      </c>
    </row>
  </sheetData>
  <conditionalFormatting sqref="B12:C13 B16:C17 B30:C31 B34:C36 B39:C40 B43:C44 B46:C47 B49:C50 B52:C53 B55:C57">
    <cfRule type="cellIs" dxfId="102" priority="13" operator="greaterThan">
      <formula>0</formula>
    </cfRule>
  </conditionalFormatting>
  <conditionalFormatting sqref="B59:B61">
    <cfRule type="cellIs" dxfId="101" priority="12" operator="greaterThan">
      <formula>0</formula>
    </cfRule>
  </conditionalFormatting>
  <conditionalFormatting sqref="B64:C64">
    <cfRule type="cellIs" dxfId="100" priority="11" operator="greaterThan">
      <formula>0</formula>
    </cfRule>
  </conditionalFormatting>
  <conditionalFormatting sqref="C59">
    <cfRule type="cellIs" dxfId="99" priority="10" operator="greaterThan">
      <formula>0</formula>
    </cfRule>
  </conditionalFormatting>
  <conditionalFormatting sqref="C60">
    <cfRule type="cellIs" dxfId="98" priority="9" operator="greaterThan">
      <formula>0</formula>
    </cfRule>
  </conditionalFormatting>
  <conditionalFormatting sqref="C61">
    <cfRule type="cellIs" dxfId="97" priority="8" operator="greaterThan">
      <formula>0</formula>
    </cfRule>
  </conditionalFormatting>
  <conditionalFormatting sqref="E5:E6">
    <cfRule type="cellIs" dxfId="96" priority="6" operator="greaterThan">
      <formula>0</formula>
    </cfRule>
  </conditionalFormatting>
  <conditionalFormatting sqref="E8:E9">
    <cfRule type="cellIs" dxfId="95" priority="5" operator="greaterThan">
      <formula>0</formula>
    </cfRule>
  </conditionalFormatting>
  <conditionalFormatting sqref="B63:C63">
    <cfRule type="cellIs" dxfId="94" priority="4" operator="greaterThan">
      <formula>0</formula>
    </cfRule>
  </conditionalFormatting>
  <conditionalFormatting sqref="A7">
    <cfRule type="cellIs" dxfId="93" priority="2" operator="greaterThan">
      <formula>0</formula>
    </cfRule>
    <cfRule type="cellIs" dxfId="92" priority="3" operator="greaterThan">
      <formula>0</formula>
    </cfRule>
  </conditionalFormatting>
  <conditionalFormatting sqref="B65:C65">
    <cfRule type="cellIs" dxfId="91" priority="1" operator="greaterThan">
      <formula>0</formula>
    </cfRule>
  </conditionalFormatting>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4:N61"/>
  <sheetViews>
    <sheetView workbookViewId="0">
      <selection activeCell="D9" sqref="D9"/>
    </sheetView>
  </sheetViews>
  <sheetFormatPr defaultRowHeight="14.5" x14ac:dyDescent="0.35"/>
  <cols>
    <col min="1" max="1" width="60.453125" customWidth="1"/>
    <col min="7" max="7" width="8.453125" customWidth="1"/>
    <col min="8" max="8" width="7.453125" customWidth="1"/>
    <col min="9" max="9" width="13.54296875" style="50" customWidth="1"/>
    <col min="10" max="10" width="8.54296875" customWidth="1"/>
    <col min="11" max="11" width="15.453125" customWidth="1"/>
    <col min="12" max="12" width="6.453125" customWidth="1"/>
    <col min="14" max="14" width="9.54296875" customWidth="1"/>
    <col min="16" max="16" width="8" customWidth="1"/>
    <col min="18" max="18" width="10.54296875" customWidth="1"/>
  </cols>
  <sheetData>
    <row r="4" spans="1:11" ht="20" x14ac:dyDescent="0.4">
      <c r="A4" s="17" t="s">
        <v>144</v>
      </c>
      <c r="I4" s="25" t="s">
        <v>160</v>
      </c>
    </row>
    <row r="5" spans="1:11" x14ac:dyDescent="0.35">
      <c r="A5" s="18" t="s">
        <v>112</v>
      </c>
    </row>
    <row r="6" spans="1:11" x14ac:dyDescent="0.35">
      <c r="A6" s="20" t="s">
        <v>113</v>
      </c>
      <c r="H6" s="50"/>
      <c r="I6" s="26" t="s">
        <v>162</v>
      </c>
    </row>
    <row r="7" spans="1:11" x14ac:dyDescent="0.35">
      <c r="A7" s="20" t="s">
        <v>291</v>
      </c>
      <c r="H7" s="51">
        <f>B16+B21+B26</f>
        <v>0</v>
      </c>
      <c r="I7" s="20">
        <f>ROUNDUP(H7,0)</f>
        <v>0</v>
      </c>
      <c r="J7" t="s">
        <v>118</v>
      </c>
    </row>
    <row r="8" spans="1:11" x14ac:dyDescent="0.35">
      <c r="H8" s="51">
        <f>B18+B23+B28</f>
        <v>0</v>
      </c>
      <c r="I8" t="s">
        <v>159</v>
      </c>
      <c r="J8" s="20">
        <f>ROUNDUP(H8,0)</f>
        <v>0</v>
      </c>
      <c r="K8" t="s">
        <v>188</v>
      </c>
    </row>
    <row r="9" spans="1:11" x14ac:dyDescent="0.35">
      <c r="A9" t="s">
        <v>79</v>
      </c>
      <c r="B9" s="20">
        <f>Förutsättningar!B11</f>
        <v>2</v>
      </c>
      <c r="H9" s="50"/>
      <c r="I9"/>
    </row>
    <row r="10" spans="1:11" x14ac:dyDescent="0.35">
      <c r="A10" t="s">
        <v>190</v>
      </c>
      <c r="B10" s="49">
        <v>0.2</v>
      </c>
      <c r="C10" t="s">
        <v>297</v>
      </c>
      <c r="H10" s="50"/>
      <c r="I10" s="35" t="s">
        <v>114</v>
      </c>
    </row>
    <row r="11" spans="1:11" x14ac:dyDescent="0.35">
      <c r="A11" t="s">
        <v>191</v>
      </c>
      <c r="B11" s="49">
        <v>0.2</v>
      </c>
      <c r="C11" t="s">
        <v>297</v>
      </c>
      <c r="H11" s="51">
        <f>IF('Bil grundtal'!C34&gt;0,('Bil grundtal'!C34+'Bil grundtal'!C35),IF('Bil grundtal'!C35&gt;0,('Bil grundtal'!C34+'Bil grundtal'!C35),'Bil grundtal'!C36))</f>
        <v>0</v>
      </c>
      <c r="I11" s="20">
        <f>ROUNDUP(H11,0)</f>
        <v>0</v>
      </c>
      <c r="J11" t="s">
        <v>293</v>
      </c>
    </row>
    <row r="12" spans="1:11" x14ac:dyDescent="0.35">
      <c r="H12" s="50"/>
      <c r="I12"/>
    </row>
    <row r="13" spans="1:11" x14ac:dyDescent="0.35">
      <c r="H13" s="50"/>
      <c r="I13" s="26" t="s">
        <v>221</v>
      </c>
    </row>
    <row r="14" spans="1:11" x14ac:dyDescent="0.35">
      <c r="H14" s="51">
        <f>B30</f>
        <v>0</v>
      </c>
      <c r="I14" s="20">
        <f>ROUNDUP(H14,0)</f>
        <v>0</v>
      </c>
      <c r="J14" t="s">
        <v>172</v>
      </c>
    </row>
    <row r="15" spans="1:11" ht="17.5" x14ac:dyDescent="0.35">
      <c r="A15" s="17" t="s">
        <v>186</v>
      </c>
      <c r="H15" s="50"/>
      <c r="I15"/>
    </row>
    <row r="16" spans="1:11" x14ac:dyDescent="0.35">
      <c r="A16" t="s">
        <v>146</v>
      </c>
      <c r="B16" s="20">
        <f>IF('Bil grundtal'!$M$19=1,('Bil grundtal'!C12-(B10*'Bil grundtal'!C12)),0)</f>
        <v>0</v>
      </c>
      <c r="C16" t="s">
        <v>118</v>
      </c>
      <c r="H16" s="50"/>
      <c r="I16" s="35" t="s">
        <v>222</v>
      </c>
    </row>
    <row r="17" spans="1:14" x14ac:dyDescent="0.35">
      <c r="A17" s="19" t="s">
        <v>174</v>
      </c>
      <c r="H17" s="51">
        <f>'Bil grundtal'!B39</f>
        <v>0</v>
      </c>
      <c r="I17" s="20">
        <f>ROUNDUP(H17,0)</f>
        <v>0</v>
      </c>
      <c r="J17" t="s">
        <v>293</v>
      </c>
    </row>
    <row r="18" spans="1:14" x14ac:dyDescent="0.35">
      <c r="A18" t="s">
        <v>147</v>
      </c>
      <c r="B18" s="20">
        <f>IF('Bil grundtal'!M19=1,('Bil grundtal'!C13-'Bil grundtal'!C12),0)</f>
        <v>0</v>
      </c>
      <c r="C18" t="s">
        <v>140</v>
      </c>
      <c r="H18" s="50"/>
      <c r="I18"/>
    </row>
    <row r="19" spans="1:14" x14ac:dyDescent="0.35">
      <c r="H19" s="50"/>
      <c r="I19" s="26" t="s">
        <v>65</v>
      </c>
    </row>
    <row r="20" spans="1:14" x14ac:dyDescent="0.35">
      <c r="A20" s="19" t="s">
        <v>62</v>
      </c>
      <c r="H20" s="51">
        <f>B37+B41+B45+B49+B53+B54+B55</f>
        <v>0</v>
      </c>
      <c r="I20" s="20">
        <f>ROUNDUP(H20,0)</f>
        <v>0</v>
      </c>
      <c r="J20" t="s">
        <v>173</v>
      </c>
    </row>
    <row r="21" spans="1:14" ht="29" x14ac:dyDescent="0.35">
      <c r="A21" s="21" t="s">
        <v>148</v>
      </c>
      <c r="B21" s="20">
        <f>IF('Bil grundtal'!M19=2,('Bil grundtal'!C16-(B10*'Bil grundtal'!C16)),0)</f>
        <v>0</v>
      </c>
      <c r="C21" t="s">
        <v>118</v>
      </c>
      <c r="H21" s="51">
        <f>B39+B43+B47+B51+B57+B58+B59</f>
        <v>0</v>
      </c>
      <c r="I21" t="s">
        <v>159</v>
      </c>
      <c r="J21" s="20">
        <f>ROUNDUP(H21,0)</f>
        <v>0</v>
      </c>
      <c r="K21" t="s">
        <v>175</v>
      </c>
    </row>
    <row r="22" spans="1:14" x14ac:dyDescent="0.35">
      <c r="A22" s="19" t="s">
        <v>174</v>
      </c>
      <c r="H22" s="50"/>
      <c r="I22"/>
    </row>
    <row r="23" spans="1:14" x14ac:dyDescent="0.35">
      <c r="A23" t="s">
        <v>147</v>
      </c>
      <c r="B23" s="20">
        <f>IF('Bil grundtal'!M19=2,('Bil grundtal'!C17-'Bil grundtal'!C16),0)</f>
        <v>0</v>
      </c>
      <c r="C23" t="s">
        <v>140</v>
      </c>
      <c r="I23" s="26" t="s">
        <v>256</v>
      </c>
      <c r="N23" s="37"/>
    </row>
    <row r="24" spans="1:14" x14ac:dyDescent="0.35">
      <c r="H24" s="50"/>
      <c r="I24" s="20">
        <f>(IF('Bil grundtal'!C30&gt;0,'Bil grundtal'!C30,(IF('Bil grundtal'!C12&gt;0,'Bil grundtal'!C12,'Bil grundtal'!C16))))+'Bil grundtal'!C40+'Bil grundtal'!C65</f>
        <v>0</v>
      </c>
      <c r="J24" t="s">
        <v>158</v>
      </c>
      <c r="K24" s="20">
        <f>I7+I14+I20</f>
        <v>0</v>
      </c>
      <c r="L24" t="s">
        <v>258</v>
      </c>
      <c r="N24" s="38"/>
    </row>
    <row r="25" spans="1:14" x14ac:dyDescent="0.35">
      <c r="A25" s="19" t="s">
        <v>62</v>
      </c>
      <c r="H25" s="51" t="b">
        <f>IF(((I24)&gt;40),((I24)*0.05),IF(((I24)&gt;0),1))</f>
        <v>0</v>
      </c>
      <c r="I25" t="s">
        <v>274</v>
      </c>
      <c r="J25" s="20">
        <f>IF((B10+B11)&gt;0,(ROUNDUP(H25,0)),0)</f>
        <v>0</v>
      </c>
      <c r="K25" t="s">
        <v>251</v>
      </c>
      <c r="N25" s="37"/>
    </row>
    <row r="26" spans="1:14" ht="29" x14ac:dyDescent="0.35">
      <c r="A26" s="21" t="s">
        <v>149</v>
      </c>
      <c r="B26" s="20">
        <f>IF('Bil grundtal'!M19=3,('Bil grundtal'!C30-(B10*'Bil grundtal'!C30)),0)</f>
        <v>0</v>
      </c>
      <c r="C26" t="s">
        <v>118</v>
      </c>
      <c r="H26" s="50"/>
      <c r="I26"/>
      <c r="N26" s="37"/>
    </row>
    <row r="27" spans="1:14" ht="20" x14ac:dyDescent="0.4">
      <c r="A27" s="19" t="s">
        <v>174</v>
      </c>
      <c r="H27" s="50"/>
      <c r="I27" s="25" t="s">
        <v>180</v>
      </c>
    </row>
    <row r="28" spans="1:14" x14ac:dyDescent="0.35">
      <c r="A28" t="s">
        <v>147</v>
      </c>
      <c r="B28" s="20">
        <f>IF('Bil grundtal'!M19=3,('Bil grundtal'!C31-'Bil grundtal'!C30),0)</f>
        <v>0</v>
      </c>
      <c r="C28" t="s">
        <v>140</v>
      </c>
      <c r="H28" s="51">
        <f>IF('Bil grundtal'!M19=1,'Bil grundtal'!B12,IF('Bil grundtal'!M19=2,'Bil grundtal'!B16,IF('Bil grundtal'!M19=3,'Bil grundtal'!B30,0)))</f>
        <v>0</v>
      </c>
      <c r="I28" t="s">
        <v>181</v>
      </c>
      <c r="K28" s="20">
        <f>ROUNDUP(H28,0)</f>
        <v>0</v>
      </c>
      <c r="L28" t="s">
        <v>183</v>
      </c>
    </row>
    <row r="29" spans="1:14" x14ac:dyDescent="0.35">
      <c r="H29" s="51">
        <f>H28-H7</f>
        <v>0</v>
      </c>
      <c r="I29" t="s">
        <v>299</v>
      </c>
      <c r="L29" s="20">
        <f>K28-I7</f>
        <v>0</v>
      </c>
      <c r="M29" t="s">
        <v>182</v>
      </c>
    </row>
    <row r="30" spans="1:14" ht="29" x14ac:dyDescent="0.35">
      <c r="A30" s="21" t="s">
        <v>161</v>
      </c>
      <c r="B30" s="20">
        <f>'Bil grundtal'!B40-(B10*'Bil grundtal'!B40)</f>
        <v>0</v>
      </c>
      <c r="H30" s="50"/>
      <c r="I30"/>
    </row>
    <row r="31" spans="1:14" x14ac:dyDescent="0.35">
      <c r="A31" s="21"/>
      <c r="H31" s="51">
        <f>'Bil grundtal'!B40</f>
        <v>0</v>
      </c>
      <c r="I31" t="s">
        <v>181</v>
      </c>
      <c r="K31" s="20">
        <f>ROUNDUP(H31,0)</f>
        <v>0</v>
      </c>
      <c r="L31" t="s">
        <v>184</v>
      </c>
    </row>
    <row r="32" spans="1:14" x14ac:dyDescent="0.35">
      <c r="A32" s="21"/>
      <c r="H32" s="51">
        <f>H31-H14</f>
        <v>0</v>
      </c>
      <c r="I32" t="s">
        <v>299</v>
      </c>
      <c r="L32" s="20">
        <f>K31-I14</f>
        <v>0</v>
      </c>
      <c r="M32" t="s">
        <v>182</v>
      </c>
    </row>
    <row r="33" spans="1:14" x14ac:dyDescent="0.35">
      <c r="A33" s="21"/>
      <c r="H33" s="50"/>
      <c r="I33"/>
    </row>
    <row r="34" spans="1:14" x14ac:dyDescent="0.35">
      <c r="A34" s="21"/>
      <c r="H34" s="51">
        <f>'Bil grundtal'!B44+'Bil grundtal'!B47+'Bil grundtal'!B49+'Bil grundtal'!B52+'Bil grundtal'!B55+'Bil grundtal'!B56+'Bil grundtal'!B57</f>
        <v>0</v>
      </c>
      <c r="I34" t="s">
        <v>181</v>
      </c>
      <c r="K34" s="20">
        <f>ROUNDUP(H34,0)</f>
        <v>0</v>
      </c>
      <c r="L34" t="s">
        <v>185</v>
      </c>
    </row>
    <row r="35" spans="1:14" x14ac:dyDescent="0.35">
      <c r="H35" s="51">
        <f>H34-H20</f>
        <v>0</v>
      </c>
      <c r="I35" t="s">
        <v>299</v>
      </c>
      <c r="L35" s="20">
        <f>K34-I20</f>
        <v>0</v>
      </c>
      <c r="M35" t="s">
        <v>182</v>
      </c>
    </row>
    <row r="36" spans="1:14" ht="17.5" x14ac:dyDescent="0.35">
      <c r="A36" s="17" t="s">
        <v>187</v>
      </c>
      <c r="H36" s="50"/>
      <c r="I36"/>
    </row>
    <row r="37" spans="1:14" x14ac:dyDescent="0.35">
      <c r="A37" t="s">
        <v>150</v>
      </c>
      <c r="B37" s="20">
        <f>'Bil grundtal'!C44-(B11*'Bil grundtal'!C44)</f>
        <v>0</v>
      </c>
      <c r="C37" t="s">
        <v>139</v>
      </c>
      <c r="I37" s="26" t="s">
        <v>231</v>
      </c>
      <c r="M37" s="20">
        <f>L29+L32+L35</f>
        <v>0</v>
      </c>
      <c r="N37" s="26" t="s">
        <v>182</v>
      </c>
    </row>
    <row r="38" spans="1:14" x14ac:dyDescent="0.35">
      <c r="A38" s="19" t="s">
        <v>145</v>
      </c>
      <c r="B38" s="24" t="s">
        <v>157</v>
      </c>
      <c r="I38" s="26" t="s">
        <v>248</v>
      </c>
      <c r="M38" s="20">
        <f>J25</f>
        <v>0</v>
      </c>
      <c r="N38" s="26" t="s">
        <v>249</v>
      </c>
    </row>
    <row r="39" spans="1:14" x14ac:dyDescent="0.35">
      <c r="A39" t="s">
        <v>147</v>
      </c>
      <c r="B39" s="20">
        <f>'Bil grundtal'!C43-'Bil grundtal'!C44</f>
        <v>0</v>
      </c>
      <c r="C39" t="s">
        <v>140</v>
      </c>
      <c r="I39"/>
      <c r="J39" s="50"/>
    </row>
    <row r="41" spans="1:14" x14ac:dyDescent="0.35">
      <c r="A41" t="s">
        <v>151</v>
      </c>
      <c r="B41" s="20">
        <f>'Bil grundtal'!C47-(B11*'Bil grundtal'!C47)</f>
        <v>0</v>
      </c>
      <c r="C41" t="s">
        <v>139</v>
      </c>
      <c r="I41"/>
      <c r="J41" s="50"/>
    </row>
    <row r="42" spans="1:14" x14ac:dyDescent="0.35">
      <c r="A42" s="19" t="s">
        <v>145</v>
      </c>
      <c r="B42" s="24" t="s">
        <v>157</v>
      </c>
    </row>
    <row r="43" spans="1:14" x14ac:dyDescent="0.35">
      <c r="A43" t="s">
        <v>147</v>
      </c>
      <c r="B43" s="20">
        <f>'Bil grundtal'!C46-'Bil grundtal'!C47</f>
        <v>0</v>
      </c>
      <c r="C43" t="s">
        <v>140</v>
      </c>
    </row>
    <row r="45" spans="1:14" x14ac:dyDescent="0.35">
      <c r="A45" t="s">
        <v>152</v>
      </c>
      <c r="B45" s="20">
        <f>'Bil grundtal'!C49-(B11*'Bil grundtal'!C49)</f>
        <v>0</v>
      </c>
      <c r="C45" t="s">
        <v>139</v>
      </c>
    </row>
    <row r="46" spans="1:14" x14ac:dyDescent="0.35">
      <c r="A46" s="19" t="s">
        <v>145</v>
      </c>
      <c r="B46" s="24" t="s">
        <v>157</v>
      </c>
    </row>
    <row r="47" spans="1:14" x14ac:dyDescent="0.35">
      <c r="A47" t="s">
        <v>147</v>
      </c>
      <c r="B47" s="20">
        <f>'Bil grundtal'!C50</f>
        <v>0</v>
      </c>
      <c r="C47" t="s">
        <v>140</v>
      </c>
    </row>
    <row r="49" spans="1:3" x14ac:dyDescent="0.35">
      <c r="A49" t="s">
        <v>153</v>
      </c>
      <c r="B49" s="20">
        <f>'Bil grundtal'!C52-(B11*'Bil grundtal'!C52)</f>
        <v>0</v>
      </c>
      <c r="C49" t="s">
        <v>139</v>
      </c>
    </row>
    <row r="50" spans="1:3" x14ac:dyDescent="0.35">
      <c r="A50" s="19" t="s">
        <v>145</v>
      </c>
      <c r="B50" s="24" t="s">
        <v>157</v>
      </c>
    </row>
    <row r="51" spans="1:3" x14ac:dyDescent="0.35">
      <c r="A51" t="s">
        <v>147</v>
      </c>
      <c r="B51" s="20">
        <f>'Bil grundtal'!C53</f>
        <v>0</v>
      </c>
      <c r="C51" t="s">
        <v>140</v>
      </c>
    </row>
    <row r="53" spans="1:3" x14ac:dyDescent="0.35">
      <c r="A53" t="s">
        <v>154</v>
      </c>
      <c r="B53" s="20">
        <f>'Bil grundtal'!C55-(B11*'Bil grundtal'!C55)</f>
        <v>0</v>
      </c>
      <c r="C53" t="s">
        <v>139</v>
      </c>
    </row>
    <row r="54" spans="1:3" x14ac:dyDescent="0.35">
      <c r="A54" t="s">
        <v>155</v>
      </c>
      <c r="B54" s="20">
        <f>'Bil grundtal'!C56-(B11*'Bil grundtal'!C56)</f>
        <v>0</v>
      </c>
      <c r="C54" t="s">
        <v>139</v>
      </c>
    </row>
    <row r="55" spans="1:3" x14ac:dyDescent="0.35">
      <c r="A55" t="s">
        <v>156</v>
      </c>
      <c r="B55" s="20">
        <f>'Bil grundtal'!C57-(B11*'Bil grundtal'!C57)</f>
        <v>0</v>
      </c>
      <c r="C55" t="s">
        <v>139</v>
      </c>
    </row>
    <row r="57" spans="1:3" x14ac:dyDescent="0.35">
      <c r="A57" t="s">
        <v>211</v>
      </c>
      <c r="B57" s="20">
        <f>'Bil grundtal'!C59</f>
        <v>0</v>
      </c>
      <c r="C57" t="s">
        <v>170</v>
      </c>
    </row>
    <row r="58" spans="1:3" x14ac:dyDescent="0.35">
      <c r="A58" t="s">
        <v>212</v>
      </c>
      <c r="B58" s="20">
        <f>'Bil grundtal'!C60</f>
        <v>0</v>
      </c>
      <c r="C58" t="s">
        <v>170</v>
      </c>
    </row>
    <row r="59" spans="1:3" x14ac:dyDescent="0.35">
      <c r="A59" t="s">
        <v>213</v>
      </c>
      <c r="B59" s="20">
        <f>'Bil grundtal'!C61</f>
        <v>0</v>
      </c>
      <c r="C59" t="s">
        <v>170</v>
      </c>
    </row>
    <row r="61" spans="1:3" x14ac:dyDescent="0.35">
      <c r="A61" s="26" t="s">
        <v>171</v>
      </c>
      <c r="B61" s="20">
        <f>B37+B39+B41+B43+B45+B47+B49+B51+B53+B54+B55+B57+B58+B59</f>
        <v>0</v>
      </c>
      <c r="C61" t="s">
        <v>170</v>
      </c>
    </row>
  </sheetData>
  <protectedRanges>
    <protectedRange sqref="B10:B11" name="Område1"/>
  </protectedRanges>
  <conditionalFormatting sqref="H7:H8 H20:H21 I15 H14">
    <cfRule type="cellIs" dxfId="90" priority="26" operator="greaterThan">
      <formula>0</formula>
    </cfRule>
  </conditionalFormatting>
  <conditionalFormatting sqref="H28:H29 H31:H32 H34:H35">
    <cfRule type="cellIs" dxfId="89" priority="25" operator="greaterThan">
      <formula>0</formula>
    </cfRule>
  </conditionalFormatting>
  <conditionalFormatting sqref="I7">
    <cfRule type="cellIs" dxfId="88" priority="24" operator="greaterThan">
      <formula>0</formula>
    </cfRule>
  </conditionalFormatting>
  <conditionalFormatting sqref="I14">
    <cfRule type="cellIs" dxfId="87" priority="23" operator="greaterThan">
      <formula>0</formula>
    </cfRule>
  </conditionalFormatting>
  <conditionalFormatting sqref="I20">
    <cfRule type="cellIs" dxfId="86" priority="22" operator="greaterThan">
      <formula>0</formula>
    </cfRule>
  </conditionalFormatting>
  <conditionalFormatting sqref="H11">
    <cfRule type="cellIs" dxfId="85" priority="21" operator="greaterThan">
      <formula>0</formula>
    </cfRule>
  </conditionalFormatting>
  <conditionalFormatting sqref="I11">
    <cfRule type="cellIs" dxfId="84" priority="20" operator="greaterThan">
      <formula>0</formula>
    </cfRule>
  </conditionalFormatting>
  <conditionalFormatting sqref="H17">
    <cfRule type="cellIs" dxfId="83" priority="19" operator="greaterThan">
      <formula>0</formula>
    </cfRule>
  </conditionalFormatting>
  <conditionalFormatting sqref="I17">
    <cfRule type="cellIs" dxfId="82" priority="18" operator="greaterThan">
      <formula>0</formula>
    </cfRule>
  </conditionalFormatting>
  <conditionalFormatting sqref="J8">
    <cfRule type="cellIs" dxfId="81" priority="17" operator="greaterThan">
      <formula>0</formula>
    </cfRule>
  </conditionalFormatting>
  <conditionalFormatting sqref="J21">
    <cfRule type="cellIs" dxfId="80" priority="16" operator="greaterThan">
      <formula>0</formula>
    </cfRule>
  </conditionalFormatting>
  <conditionalFormatting sqref="H24:H25">
    <cfRule type="cellIs" dxfId="79" priority="14" operator="greaterThan">
      <formula>0</formula>
    </cfRule>
  </conditionalFormatting>
  <conditionalFormatting sqref="I24">
    <cfRule type="cellIs" dxfId="78" priority="13" operator="greaterThan">
      <formula>0</formula>
    </cfRule>
  </conditionalFormatting>
  <conditionalFormatting sqref="K24">
    <cfRule type="cellIs" dxfId="77" priority="11" operator="greaterThan">
      <formula>0</formula>
    </cfRule>
  </conditionalFormatting>
  <conditionalFormatting sqref="J25">
    <cfRule type="cellIs" dxfId="76" priority="12" operator="greaterThan">
      <formula>0</formula>
    </cfRule>
  </conditionalFormatting>
  <conditionalFormatting sqref="K28">
    <cfRule type="cellIs" dxfId="75" priority="10" operator="greaterThan">
      <formula>0</formula>
    </cfRule>
  </conditionalFormatting>
  <conditionalFormatting sqref="L29">
    <cfRule type="cellIs" dxfId="74" priority="9" operator="greaterThan">
      <formula>0</formula>
    </cfRule>
  </conditionalFormatting>
  <conditionalFormatting sqref="K31">
    <cfRule type="cellIs" dxfId="73" priority="8" operator="greaterThan">
      <formula>0</formula>
    </cfRule>
  </conditionalFormatting>
  <conditionalFormatting sqref="L32">
    <cfRule type="cellIs" dxfId="72" priority="7" operator="greaterThan">
      <formula>0</formula>
    </cfRule>
  </conditionalFormatting>
  <conditionalFormatting sqref="K34">
    <cfRule type="cellIs" dxfId="71" priority="6" operator="greaterThan">
      <formula>0</formula>
    </cfRule>
  </conditionalFormatting>
  <conditionalFormatting sqref="L35">
    <cfRule type="cellIs" dxfId="70" priority="5" operator="greaterThan">
      <formula>0</formula>
    </cfRule>
  </conditionalFormatting>
  <conditionalFormatting sqref="M37">
    <cfRule type="cellIs" dxfId="69" priority="4" operator="greaterThan">
      <formula>0</formula>
    </cfRule>
  </conditionalFormatting>
  <conditionalFormatting sqref="M38">
    <cfRule type="cellIs" dxfId="68" priority="3" operator="greaterThan">
      <formula>0</formula>
    </cfRule>
  </conditionalFormatting>
  <conditionalFormatting sqref="A7">
    <cfRule type="cellIs" dxfId="67" priority="1" operator="greaterThan">
      <formula>0</formula>
    </cfRule>
    <cfRule type="cellIs" dxfId="66" priority="2" operator="greaterThan">
      <formula>0</formula>
    </cfRule>
  </conditionalFormatting>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4:P62"/>
  <sheetViews>
    <sheetView workbookViewId="0">
      <selection activeCell="J24" sqref="J24"/>
    </sheetView>
  </sheetViews>
  <sheetFormatPr defaultRowHeight="14.5" x14ac:dyDescent="0.35"/>
  <cols>
    <col min="1" max="1" width="60.453125" customWidth="1"/>
    <col min="2" max="2" width="7.08984375" customWidth="1"/>
    <col min="5" max="5" width="11.08984375" customWidth="1"/>
    <col min="6" max="6" width="15.453125" customWidth="1"/>
    <col min="7" max="7" width="9.90625" customWidth="1"/>
    <col min="8" max="8" width="13.54296875" customWidth="1"/>
    <col min="9" max="9" width="6" customWidth="1"/>
    <col min="10" max="10" width="5.54296875" customWidth="1"/>
    <col min="12" max="12" width="10.90625" customWidth="1"/>
    <col min="13" max="13" width="6.90625" customWidth="1"/>
    <col min="14" max="14" width="6" customWidth="1"/>
    <col min="15" max="15" width="5.08984375" customWidth="1"/>
    <col min="16" max="16" width="10.54296875" customWidth="1"/>
  </cols>
  <sheetData>
    <row r="4" spans="1:10" ht="20" x14ac:dyDescent="0.4">
      <c r="A4" s="17" t="s">
        <v>189</v>
      </c>
      <c r="H4" s="25" t="s">
        <v>235</v>
      </c>
    </row>
    <row r="5" spans="1:10" x14ac:dyDescent="0.35">
      <c r="A5" s="18" t="s">
        <v>112</v>
      </c>
    </row>
    <row r="6" spans="1:10" x14ac:dyDescent="0.35">
      <c r="A6" s="20" t="s">
        <v>113</v>
      </c>
      <c r="H6" s="26" t="s">
        <v>162</v>
      </c>
    </row>
    <row r="7" spans="1:10" x14ac:dyDescent="0.35">
      <c r="A7" s="20" t="s">
        <v>291</v>
      </c>
      <c r="G7" s="51">
        <f>B17+B22+B27</f>
        <v>0</v>
      </c>
      <c r="H7" s="20">
        <f>ROUNDUP(G7,0)</f>
        <v>0</v>
      </c>
      <c r="I7" t="s">
        <v>118</v>
      </c>
    </row>
    <row r="8" spans="1:10" x14ac:dyDescent="0.35">
      <c r="G8" s="51">
        <f>B19+B24+B29</f>
        <v>0</v>
      </c>
      <c r="H8" t="s">
        <v>159</v>
      </c>
      <c r="I8" s="20">
        <f>ROUNDUP(G8,0)</f>
        <v>0</v>
      </c>
      <c r="J8" t="s">
        <v>188</v>
      </c>
    </row>
    <row r="9" spans="1:10" x14ac:dyDescent="0.35">
      <c r="A9" t="s">
        <v>79</v>
      </c>
      <c r="B9" s="20">
        <f>Förutsättningar!B11</f>
        <v>2</v>
      </c>
      <c r="E9" s="32"/>
      <c r="G9" s="50"/>
    </row>
    <row r="10" spans="1:10" x14ac:dyDescent="0.35">
      <c r="A10" t="s">
        <v>228</v>
      </c>
      <c r="B10" s="49">
        <v>0.1</v>
      </c>
      <c r="C10" t="s">
        <v>275</v>
      </c>
      <c r="G10" s="50"/>
      <c r="H10" s="35" t="s">
        <v>114</v>
      </c>
    </row>
    <row r="11" spans="1:10" x14ac:dyDescent="0.35">
      <c r="A11" t="s">
        <v>191</v>
      </c>
      <c r="B11" s="49">
        <v>0.1</v>
      </c>
      <c r="C11" t="s">
        <v>275</v>
      </c>
      <c r="G11" s="51">
        <f>IF('Bil grundtal'!C34&gt;0,('Bil grundtal'!C34+'Bil grundtal'!C35),IF('Bil grundtal'!C35&gt;0,('Bil grundtal'!C34+'Bil grundtal'!C35),'Bil grundtal'!C36))</f>
        <v>0</v>
      </c>
      <c r="H11" s="20">
        <f>ROUNDUP(G11,0)</f>
        <v>0</v>
      </c>
      <c r="I11" t="s">
        <v>294</v>
      </c>
    </row>
    <row r="12" spans="1:10" x14ac:dyDescent="0.35">
      <c r="G12" s="50"/>
    </row>
    <row r="13" spans="1:10" x14ac:dyDescent="0.35">
      <c r="G13" s="50"/>
      <c r="H13" s="26" t="s">
        <v>221</v>
      </c>
    </row>
    <row r="14" spans="1:10" x14ac:dyDescent="0.35">
      <c r="G14" s="51">
        <f>B31</f>
        <v>0</v>
      </c>
      <c r="H14" s="20">
        <f>ROUNDUP(G14,0)</f>
        <v>0</v>
      </c>
      <c r="I14" t="s">
        <v>172</v>
      </c>
    </row>
    <row r="15" spans="1:10" x14ac:dyDescent="0.35">
      <c r="G15" s="50"/>
    </row>
    <row r="16" spans="1:10" ht="17.5" x14ac:dyDescent="0.35">
      <c r="A16" s="17" t="s">
        <v>186</v>
      </c>
      <c r="G16" s="50"/>
      <c r="H16" s="35" t="s">
        <v>222</v>
      </c>
    </row>
    <row r="17" spans="1:15" x14ac:dyDescent="0.35">
      <c r="A17" t="s">
        <v>146</v>
      </c>
      <c r="B17" s="20">
        <f>'Red bilpool'!B16-(B10*'Red bilpool'!B16)</f>
        <v>0</v>
      </c>
      <c r="C17" t="s">
        <v>118</v>
      </c>
      <c r="G17" s="51">
        <f>'Bil grundtal'!B39</f>
        <v>0</v>
      </c>
      <c r="H17" s="20">
        <f>ROUNDUP(G17,0)</f>
        <v>0</v>
      </c>
      <c r="I17" t="s">
        <v>294</v>
      </c>
    </row>
    <row r="18" spans="1:15" x14ac:dyDescent="0.35">
      <c r="A18" s="19" t="s">
        <v>174</v>
      </c>
      <c r="G18" s="50"/>
    </row>
    <row r="19" spans="1:15" x14ac:dyDescent="0.35">
      <c r="A19" t="s">
        <v>147</v>
      </c>
      <c r="B19" s="20">
        <f>'Red bilpool'!B18</f>
        <v>0</v>
      </c>
      <c r="C19" t="s">
        <v>140</v>
      </c>
      <c r="G19" s="50"/>
      <c r="H19" s="26" t="s">
        <v>65</v>
      </c>
    </row>
    <row r="20" spans="1:15" x14ac:dyDescent="0.35">
      <c r="G20" s="51">
        <f>B38+B42+B46+B50+B54+B55+B56</f>
        <v>0</v>
      </c>
      <c r="H20" s="20">
        <f>ROUNDUP(G20,0)</f>
        <v>0</v>
      </c>
      <c r="I20" t="s">
        <v>173</v>
      </c>
    </row>
    <row r="21" spans="1:15" x14ac:dyDescent="0.35">
      <c r="A21" s="19" t="s">
        <v>62</v>
      </c>
      <c r="G21" s="51">
        <f>B40+B44+B48+B52+B58+B59+B60</f>
        <v>0</v>
      </c>
      <c r="H21" t="s">
        <v>159</v>
      </c>
      <c r="I21" s="20">
        <f>ROUNDUP(G21,0)</f>
        <v>0</v>
      </c>
      <c r="J21" t="s">
        <v>295</v>
      </c>
    </row>
    <row r="22" spans="1:15" ht="29" x14ac:dyDescent="0.35">
      <c r="A22" s="21" t="s">
        <v>148</v>
      </c>
      <c r="B22" s="20">
        <f>'Red bilpool'!B21-(B10*'Red bilpool'!B21)</f>
        <v>0</v>
      </c>
      <c r="C22" t="s">
        <v>118</v>
      </c>
      <c r="G22" s="50"/>
    </row>
    <row r="23" spans="1:15" x14ac:dyDescent="0.35">
      <c r="A23" s="19" t="s">
        <v>174</v>
      </c>
      <c r="H23" s="26" t="s">
        <v>296</v>
      </c>
    </row>
    <row r="24" spans="1:15" x14ac:dyDescent="0.35">
      <c r="A24" t="s">
        <v>147</v>
      </c>
      <c r="B24" s="20">
        <f>'Red bilpool'!B23</f>
        <v>0</v>
      </c>
      <c r="C24" t="s">
        <v>140</v>
      </c>
      <c r="G24" s="50"/>
      <c r="H24" s="20">
        <f>H7+I8+H11+H14+H17+H20+I21</f>
        <v>0</v>
      </c>
      <c r="I24" t="s">
        <v>158</v>
      </c>
      <c r="J24" s="20">
        <f>H7+H14+H20</f>
        <v>0</v>
      </c>
      <c r="K24" t="s">
        <v>244</v>
      </c>
    </row>
    <row r="25" spans="1:15" x14ac:dyDescent="0.35">
      <c r="G25" s="51" t="b">
        <f>'Red bilpool'!H25</f>
        <v>0</v>
      </c>
      <c r="H25" t="s">
        <v>274</v>
      </c>
      <c r="I25" s="20">
        <f>IF(('Red bilpool'!B10+'Red bilpool'!B11)&gt;0,(ROUNDUP(G25,0)),0)</f>
        <v>0</v>
      </c>
      <c r="J25" t="s">
        <v>250</v>
      </c>
    </row>
    <row r="26" spans="1:15" x14ac:dyDescent="0.35">
      <c r="A26" s="19" t="s">
        <v>62</v>
      </c>
      <c r="G26" s="50"/>
    </row>
    <row r="27" spans="1:15" ht="29" x14ac:dyDescent="0.35">
      <c r="A27" s="21" t="s">
        <v>149</v>
      </c>
      <c r="B27" s="20">
        <f>'Red bilpool'!B26-(B10*'Red bilpool'!B26)</f>
        <v>0</v>
      </c>
      <c r="C27" t="s">
        <v>118</v>
      </c>
      <c r="G27" s="50"/>
    </row>
    <row r="28" spans="1:15" ht="20" x14ac:dyDescent="0.4">
      <c r="A28" s="19" t="s">
        <v>174</v>
      </c>
      <c r="G28" s="50"/>
      <c r="H28" s="25" t="s">
        <v>180</v>
      </c>
    </row>
    <row r="29" spans="1:15" x14ac:dyDescent="0.35">
      <c r="A29" t="s">
        <v>147</v>
      </c>
      <c r="B29" s="20">
        <f>'Red bilpool'!B28</f>
        <v>0</v>
      </c>
      <c r="C29" t="s">
        <v>140</v>
      </c>
      <c r="G29" s="51">
        <f>IF('Bil grundtal'!M19=1,'Bil grundtal'!B12,IF('Bil grundtal'!M19=2,'Bil grundtal'!B16,IF('Bil grundtal'!M19=3,'Bil grundtal'!B30,0)))</f>
        <v>0</v>
      </c>
      <c r="H29" t="s">
        <v>181</v>
      </c>
      <c r="J29" s="20">
        <f>ROUNDUP(G29,0)</f>
        <v>0</v>
      </c>
      <c r="K29" t="s">
        <v>183</v>
      </c>
    </row>
    <row r="30" spans="1:15" x14ac:dyDescent="0.35">
      <c r="G30" s="50"/>
      <c r="H30" t="s">
        <v>300</v>
      </c>
      <c r="N30" s="30">
        <f>'Red bilpool'!I7-'Red MM'!H7</f>
        <v>0</v>
      </c>
      <c r="O30" t="s">
        <v>259</v>
      </c>
    </row>
    <row r="31" spans="1:15" ht="29" x14ac:dyDescent="0.35">
      <c r="A31" s="21" t="s">
        <v>161</v>
      </c>
      <c r="B31" s="20">
        <f>'Red bilpool'!B30-(B10*'Red bilpool'!B30)</f>
        <v>0</v>
      </c>
      <c r="G31" s="51">
        <f>J29-H7</f>
        <v>0</v>
      </c>
      <c r="H31" t="s">
        <v>301</v>
      </c>
      <c r="N31" s="30">
        <f>G31</f>
        <v>0</v>
      </c>
      <c r="O31" t="s">
        <v>182</v>
      </c>
    </row>
    <row r="32" spans="1:15" x14ac:dyDescent="0.35">
      <c r="A32" s="21"/>
      <c r="G32" s="50"/>
    </row>
    <row r="33" spans="1:16" x14ac:dyDescent="0.35">
      <c r="A33" s="21"/>
      <c r="G33" s="51">
        <f>'Bil grundtal'!B40</f>
        <v>0</v>
      </c>
      <c r="H33" t="s">
        <v>181</v>
      </c>
      <c r="J33" s="20">
        <f>ROUNDUP(G33,0)</f>
        <v>0</v>
      </c>
      <c r="K33" t="s">
        <v>184</v>
      </c>
    </row>
    <row r="34" spans="1:16" x14ac:dyDescent="0.35">
      <c r="A34" s="21"/>
      <c r="H34" t="s">
        <v>300</v>
      </c>
      <c r="N34" s="30">
        <f>'Red bilpool'!I14-'Red MM'!H14</f>
        <v>0</v>
      </c>
      <c r="O34" t="s">
        <v>259</v>
      </c>
    </row>
    <row r="35" spans="1:16" x14ac:dyDescent="0.35">
      <c r="A35" s="21"/>
      <c r="G35" s="51">
        <f>J33-H14</f>
        <v>0</v>
      </c>
      <c r="H35" t="s">
        <v>301</v>
      </c>
      <c r="N35" s="20">
        <f>G35</f>
        <v>0</v>
      </c>
      <c r="O35" t="s">
        <v>182</v>
      </c>
    </row>
    <row r="36" spans="1:16" x14ac:dyDescent="0.35">
      <c r="G36" s="50"/>
    </row>
    <row r="37" spans="1:16" ht="17.5" x14ac:dyDescent="0.35">
      <c r="A37" s="17" t="s">
        <v>187</v>
      </c>
      <c r="G37" s="51">
        <f>'Bil grundtal'!B44+'Bil grundtal'!B47+'Bil grundtal'!B49+'Bil grundtal'!B52+'Bil grundtal'!B55+'Bil grundtal'!B56+'Bil grundtal'!B57</f>
        <v>0</v>
      </c>
      <c r="H37" t="s">
        <v>181</v>
      </c>
      <c r="J37" s="20">
        <f>ROUNDUP(G37,0)</f>
        <v>0</v>
      </c>
      <c r="K37" t="s">
        <v>185</v>
      </c>
    </row>
    <row r="38" spans="1:16" x14ac:dyDescent="0.35">
      <c r="A38" t="s">
        <v>150</v>
      </c>
      <c r="B38" s="20">
        <f>'Red bilpool'!B37-($B$11*'Red bilpool'!B37)</f>
        <v>0</v>
      </c>
      <c r="C38" t="s">
        <v>139</v>
      </c>
      <c r="G38" s="50"/>
      <c r="H38" t="s">
        <v>302</v>
      </c>
      <c r="O38" s="20">
        <f>'Red bilpool'!I20-'Red MM'!H20</f>
        <v>0</v>
      </c>
      <c r="P38" t="s">
        <v>259</v>
      </c>
    </row>
    <row r="39" spans="1:16" x14ac:dyDescent="0.35">
      <c r="A39" s="19" t="s">
        <v>145</v>
      </c>
      <c r="B39" s="24" t="s">
        <v>157</v>
      </c>
      <c r="G39" s="51">
        <f>J37-H20</f>
        <v>0</v>
      </c>
      <c r="H39" t="s">
        <v>301</v>
      </c>
      <c r="O39" s="20">
        <f>G39</f>
        <v>0</v>
      </c>
      <c r="P39" t="s">
        <v>182</v>
      </c>
    </row>
    <row r="40" spans="1:16" x14ac:dyDescent="0.35">
      <c r="A40" t="s">
        <v>147</v>
      </c>
      <c r="B40" s="20">
        <f>'Red bilpool'!$B$39</f>
        <v>0</v>
      </c>
      <c r="C40" t="s">
        <v>140</v>
      </c>
    </row>
    <row r="41" spans="1:16" x14ac:dyDescent="0.35">
      <c r="H41" s="26" t="s">
        <v>224</v>
      </c>
      <c r="I41" s="30">
        <f>N30+O38</f>
        <v>0</v>
      </c>
      <c r="J41" s="26" t="s">
        <v>260</v>
      </c>
    </row>
    <row r="42" spans="1:16" x14ac:dyDescent="0.35">
      <c r="A42" t="s">
        <v>151</v>
      </c>
      <c r="B42" s="20">
        <f>'Red bilpool'!B41-($B$11*'Red bilpool'!B41)</f>
        <v>0</v>
      </c>
      <c r="C42" t="s">
        <v>139</v>
      </c>
      <c r="H42" s="26" t="s">
        <v>224</v>
      </c>
      <c r="I42" s="30">
        <f>N31+N35+O39</f>
        <v>0</v>
      </c>
      <c r="J42" s="26" t="s">
        <v>303</v>
      </c>
    </row>
    <row r="43" spans="1:16" x14ac:dyDescent="0.35">
      <c r="A43" s="19" t="s">
        <v>145</v>
      </c>
      <c r="B43" s="24" t="s">
        <v>157</v>
      </c>
      <c r="G43" s="26"/>
      <c r="H43" t="s">
        <v>274</v>
      </c>
      <c r="I43" s="20">
        <f>I25</f>
        <v>0</v>
      </c>
      <c r="J43" t="s">
        <v>250</v>
      </c>
    </row>
    <row r="44" spans="1:16" x14ac:dyDescent="0.35">
      <c r="A44" t="s">
        <v>147</v>
      </c>
      <c r="B44" s="27">
        <f>'Red bilpool'!$B$43</f>
        <v>0</v>
      </c>
      <c r="C44" t="s">
        <v>140</v>
      </c>
    </row>
    <row r="46" spans="1:16" x14ac:dyDescent="0.35">
      <c r="A46" t="s">
        <v>152</v>
      </c>
      <c r="B46" s="20">
        <f>'Red bilpool'!B45-($B$11*'Red bilpool'!B45)</f>
        <v>0</v>
      </c>
      <c r="C46" t="s">
        <v>139</v>
      </c>
    </row>
    <row r="47" spans="1:16" x14ac:dyDescent="0.35">
      <c r="A47" s="19" t="s">
        <v>145</v>
      </c>
      <c r="B47" s="24" t="s">
        <v>157</v>
      </c>
    </row>
    <row r="48" spans="1:16" x14ac:dyDescent="0.35">
      <c r="A48" t="s">
        <v>147</v>
      </c>
      <c r="B48" s="20">
        <f>'Red bilpool'!$B$47</f>
        <v>0</v>
      </c>
      <c r="C48" t="s">
        <v>140</v>
      </c>
    </row>
    <row r="50" spans="1:3" x14ac:dyDescent="0.35">
      <c r="A50" t="s">
        <v>153</v>
      </c>
      <c r="B50" s="20">
        <f>'Red bilpool'!B49-($B$11*'Red bilpool'!B49)</f>
        <v>0</v>
      </c>
      <c r="C50" t="s">
        <v>139</v>
      </c>
    </row>
    <row r="51" spans="1:3" x14ac:dyDescent="0.35">
      <c r="A51" s="19" t="s">
        <v>145</v>
      </c>
      <c r="B51" s="24" t="s">
        <v>157</v>
      </c>
    </row>
    <row r="52" spans="1:3" x14ac:dyDescent="0.35">
      <c r="A52" t="s">
        <v>147</v>
      </c>
      <c r="B52" s="20">
        <f>'Red bilpool'!$B$51</f>
        <v>0</v>
      </c>
      <c r="C52" t="s">
        <v>140</v>
      </c>
    </row>
    <row r="54" spans="1:3" x14ac:dyDescent="0.35">
      <c r="A54" t="s">
        <v>154</v>
      </c>
      <c r="B54" s="20">
        <f>'Red bilpool'!B53-($B$11*'Red bilpool'!B53)</f>
        <v>0</v>
      </c>
      <c r="C54" t="s">
        <v>139</v>
      </c>
    </row>
    <row r="55" spans="1:3" x14ac:dyDescent="0.35">
      <c r="A55" t="s">
        <v>155</v>
      </c>
      <c r="B55" s="20">
        <f>'Red bilpool'!B54-($B$11*'Red bilpool'!B54)</f>
        <v>0</v>
      </c>
      <c r="C55" t="s">
        <v>139</v>
      </c>
    </row>
    <row r="56" spans="1:3" x14ac:dyDescent="0.35">
      <c r="A56" t="s">
        <v>156</v>
      </c>
      <c r="B56" s="20">
        <f>'Red bilpool'!B55-($B$11*'Red bilpool'!B55)</f>
        <v>0</v>
      </c>
      <c r="C56" t="s">
        <v>139</v>
      </c>
    </row>
    <row r="58" spans="1:3" x14ac:dyDescent="0.35">
      <c r="A58" t="s">
        <v>211</v>
      </c>
      <c r="B58" s="20">
        <f>'Bil grundtal'!B59</f>
        <v>0</v>
      </c>
      <c r="C58" t="s">
        <v>170</v>
      </c>
    </row>
    <row r="59" spans="1:3" x14ac:dyDescent="0.35">
      <c r="A59" t="s">
        <v>212</v>
      </c>
      <c r="B59" s="20">
        <f>'Bil grundtal'!B60</f>
        <v>0</v>
      </c>
      <c r="C59" t="s">
        <v>170</v>
      </c>
    </row>
    <row r="60" spans="1:3" x14ac:dyDescent="0.35">
      <c r="A60" t="s">
        <v>213</v>
      </c>
      <c r="B60" s="20">
        <f>'Bil grundtal'!B61</f>
        <v>0</v>
      </c>
      <c r="C60" t="s">
        <v>170</v>
      </c>
    </row>
    <row r="62" spans="1:3" x14ac:dyDescent="0.35">
      <c r="A62" s="26" t="s">
        <v>171</v>
      </c>
      <c r="B62" s="20">
        <f>B38+B40+B42+B44+B46+B48+B50+B52+B54+B55+B56+B58+B59+B60</f>
        <v>0</v>
      </c>
      <c r="C62" t="s">
        <v>170</v>
      </c>
    </row>
  </sheetData>
  <protectedRanges>
    <protectedRange sqref="B10:B11" name="Område1"/>
  </protectedRanges>
  <conditionalFormatting sqref="G7:G8 G14 G20:G21 G24:G25 G29 G31 G37 G39 G33 G35">
    <cfRule type="cellIs" dxfId="65" priority="35" operator="greaterThan">
      <formula>0</formula>
    </cfRule>
  </conditionalFormatting>
  <conditionalFormatting sqref="H14">
    <cfRule type="cellIs" dxfId="64" priority="29" operator="greaterThan">
      <formula>0</formula>
    </cfRule>
  </conditionalFormatting>
  <conditionalFormatting sqref="G17">
    <cfRule type="cellIs" dxfId="63" priority="32" operator="greaterThan">
      <formula>0</formula>
    </cfRule>
  </conditionalFormatting>
  <conditionalFormatting sqref="H7">
    <cfRule type="cellIs" dxfId="62" priority="31" operator="greaterThan">
      <formula>0</formula>
    </cfRule>
  </conditionalFormatting>
  <conditionalFormatting sqref="H11">
    <cfRule type="cellIs" dxfId="61" priority="30" operator="greaterThan">
      <formula>0</formula>
    </cfRule>
  </conditionalFormatting>
  <conditionalFormatting sqref="H17">
    <cfRule type="cellIs" dxfId="60" priority="28" operator="greaterThan">
      <formula>0</formula>
    </cfRule>
  </conditionalFormatting>
  <conditionalFormatting sqref="H20">
    <cfRule type="cellIs" dxfId="59" priority="27" operator="greaterThan">
      <formula>0</formula>
    </cfRule>
  </conditionalFormatting>
  <conditionalFormatting sqref="H24">
    <cfRule type="cellIs" dxfId="58" priority="26" operator="greaterThan">
      <formula>0</formula>
    </cfRule>
  </conditionalFormatting>
  <conditionalFormatting sqref="I8">
    <cfRule type="cellIs" dxfId="57" priority="25" operator="greaterThan">
      <formula>0</formula>
    </cfRule>
  </conditionalFormatting>
  <conditionalFormatting sqref="I21">
    <cfRule type="cellIs" dxfId="56" priority="24" operator="greaterThan">
      <formula>0</formula>
    </cfRule>
  </conditionalFormatting>
  <conditionalFormatting sqref="J24">
    <cfRule type="cellIs" dxfId="55" priority="15" operator="greaterThan">
      <formula>0</formula>
    </cfRule>
  </conditionalFormatting>
  <conditionalFormatting sqref="I25">
    <cfRule type="cellIs" dxfId="54" priority="22" operator="greaterThan">
      <formula>0</formula>
    </cfRule>
  </conditionalFormatting>
  <conditionalFormatting sqref="J29">
    <cfRule type="cellIs" dxfId="53" priority="21" operator="greaterThan">
      <formula>0</formula>
    </cfRule>
  </conditionalFormatting>
  <conditionalFormatting sqref="J33">
    <cfRule type="cellIs" dxfId="52" priority="20" operator="greaterThan">
      <formula>0</formula>
    </cfRule>
  </conditionalFormatting>
  <conditionalFormatting sqref="J37">
    <cfRule type="cellIs" dxfId="51" priority="19" operator="greaterThan">
      <formula>0</formula>
    </cfRule>
  </conditionalFormatting>
  <conditionalFormatting sqref="N31">
    <cfRule type="cellIs" dxfId="50" priority="18" operator="greaterThan">
      <formula>0</formula>
    </cfRule>
  </conditionalFormatting>
  <conditionalFormatting sqref="O39">
    <cfRule type="cellIs" dxfId="49" priority="17" operator="greaterThan">
      <formula>0</formula>
    </cfRule>
  </conditionalFormatting>
  <conditionalFormatting sqref="N35">
    <cfRule type="cellIs" dxfId="48" priority="16" operator="greaterThan">
      <formula>0</formula>
    </cfRule>
  </conditionalFormatting>
  <conditionalFormatting sqref="I42">
    <cfRule type="cellIs" dxfId="47" priority="11" operator="greaterThan">
      <formula>0</formula>
    </cfRule>
  </conditionalFormatting>
  <conditionalFormatting sqref="G11">
    <cfRule type="cellIs" dxfId="46" priority="13" operator="greaterThan">
      <formula>0</formula>
    </cfRule>
  </conditionalFormatting>
  <conditionalFormatting sqref="N30">
    <cfRule type="cellIs" dxfId="45" priority="9" operator="greaterThan">
      <formula>0</formula>
    </cfRule>
  </conditionalFormatting>
  <conditionalFormatting sqref="O38">
    <cfRule type="cellIs" dxfId="44" priority="7" operator="greaterThan">
      <formula>0</formula>
    </cfRule>
  </conditionalFormatting>
  <conditionalFormatting sqref="I41">
    <cfRule type="cellIs" dxfId="43" priority="6" operator="greaterThan">
      <formula>0</formula>
    </cfRule>
  </conditionalFormatting>
  <conditionalFormatting sqref="A7">
    <cfRule type="cellIs" dxfId="42" priority="4" operator="greaterThan">
      <formula>0</formula>
    </cfRule>
    <cfRule type="cellIs" dxfId="41" priority="5" operator="greaterThan">
      <formula>0</formula>
    </cfRule>
  </conditionalFormatting>
  <conditionalFormatting sqref="N34">
    <cfRule type="cellIs" dxfId="40" priority="3" operator="greaterThan">
      <formula>0</formula>
    </cfRule>
  </conditionalFormatting>
  <conditionalFormatting sqref="I43">
    <cfRule type="cellIs" dxfId="39" priority="1" operator="greaterThan">
      <formula>0</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0747F-2DF0-431A-B6D4-152ED0EDE978}">
  <sheetPr>
    <tabColor theme="3" tint="0.39997558519241921"/>
  </sheetPr>
  <dimension ref="A4:M53"/>
  <sheetViews>
    <sheetView topLeftCell="A37" zoomScale="110" zoomScaleNormal="110" workbookViewId="0">
      <selection activeCell="J46" sqref="J46"/>
    </sheetView>
  </sheetViews>
  <sheetFormatPr defaultRowHeight="14.5" x14ac:dyDescent="0.35"/>
  <cols>
    <col min="1" max="1" width="48.54296875" customWidth="1"/>
    <col min="10" max="10" width="15.453125" customWidth="1"/>
    <col min="18" max="19" width="9.08984375" customWidth="1"/>
  </cols>
  <sheetData>
    <row r="4" spans="1:10" ht="17.5" x14ac:dyDescent="0.35">
      <c r="A4" s="17" t="s">
        <v>219</v>
      </c>
    </row>
    <row r="5" spans="1:10" x14ac:dyDescent="0.35">
      <c r="A5" s="18" t="s">
        <v>112</v>
      </c>
    </row>
    <row r="6" spans="1:10" x14ac:dyDescent="0.35">
      <c r="A6" s="20" t="s">
        <v>113</v>
      </c>
    </row>
    <row r="7" spans="1:10" x14ac:dyDescent="0.35">
      <c r="A7" s="20" t="s">
        <v>291</v>
      </c>
    </row>
    <row r="9" spans="1:10" hidden="1" x14ac:dyDescent="0.35">
      <c r="A9" t="s">
        <v>79</v>
      </c>
      <c r="B9" s="20">
        <f>Förutsättningar!B11</f>
        <v>2</v>
      </c>
    </row>
    <row r="15" spans="1:10" x14ac:dyDescent="0.35">
      <c r="J15" s="32"/>
    </row>
    <row r="16" spans="1:10" x14ac:dyDescent="0.35">
      <c r="A16" s="32"/>
    </row>
    <row r="20" spans="1:6" ht="17.5" x14ac:dyDescent="0.35">
      <c r="A20" s="17" t="s">
        <v>201</v>
      </c>
    </row>
    <row r="22" spans="1:6" x14ac:dyDescent="0.35">
      <c r="B22" s="54" t="s">
        <v>309</v>
      </c>
      <c r="C22" s="28"/>
      <c r="D22" s="28"/>
      <c r="E22" s="28"/>
      <c r="F22" s="28"/>
    </row>
    <row r="23" spans="1:6" x14ac:dyDescent="0.35">
      <c r="A23" s="26" t="s">
        <v>193</v>
      </c>
      <c r="B23" s="29">
        <f>B45*('Red MM'!$G7+'Red MM'!$G11+'Red MM'!$G14)</f>
        <v>0</v>
      </c>
      <c r="C23" s="29"/>
      <c r="D23" s="29"/>
      <c r="E23" s="29"/>
      <c r="F23" s="29"/>
    </row>
    <row r="24" spans="1:6" x14ac:dyDescent="0.35">
      <c r="A24" s="26" t="s">
        <v>194</v>
      </c>
      <c r="B24" s="29">
        <f>B46*'Red MM'!$G8</f>
        <v>0</v>
      </c>
      <c r="C24" s="29"/>
      <c r="D24" s="29"/>
      <c r="E24" s="29"/>
      <c r="F24" s="29"/>
    </row>
    <row r="25" spans="1:6" x14ac:dyDescent="0.35">
      <c r="A25" s="26" t="s">
        <v>195</v>
      </c>
      <c r="B25" s="29">
        <f>B47*('Red MM'!$B42+'Red MM'!$B44)</f>
        <v>0</v>
      </c>
      <c r="C25" s="29"/>
      <c r="D25" s="29"/>
      <c r="E25" s="29"/>
      <c r="F25" s="29"/>
    </row>
    <row r="26" spans="1:6" x14ac:dyDescent="0.35">
      <c r="A26" s="26" t="s">
        <v>196</v>
      </c>
      <c r="B26" s="29">
        <f>B48*('Red MM'!$B38+'Red MM'!$B40)</f>
        <v>0</v>
      </c>
      <c r="C26" s="29"/>
      <c r="D26" s="29"/>
      <c r="E26" s="29"/>
      <c r="F26" s="29"/>
    </row>
    <row r="27" spans="1:6" x14ac:dyDescent="0.35">
      <c r="A27" s="26" t="s">
        <v>197</v>
      </c>
      <c r="B27" s="29">
        <f>B49*('Red MM'!$B46+'Red MM'!$B48+'Red MM'!$B50+'Red MM'!$B52)</f>
        <v>0</v>
      </c>
      <c r="C27" s="29"/>
      <c r="D27" s="29"/>
      <c r="E27" s="29"/>
      <c r="F27" s="29"/>
    </row>
    <row r="28" spans="1:6" x14ac:dyDescent="0.35">
      <c r="A28" s="26" t="s">
        <v>198</v>
      </c>
      <c r="B28" s="29">
        <f>B50*('Red MM'!$B54+'Red MM'!$B55+'Red MM'!$B56)</f>
        <v>0</v>
      </c>
      <c r="C28" s="29"/>
      <c r="D28" s="29"/>
      <c r="E28" s="29"/>
      <c r="F28" s="29"/>
    </row>
    <row r="29" spans="1:6" x14ac:dyDescent="0.35">
      <c r="A29" s="26" t="s">
        <v>199</v>
      </c>
      <c r="B29" s="29">
        <f>B51*'Red MM'!$B58</f>
        <v>0</v>
      </c>
      <c r="C29" s="29"/>
      <c r="D29" s="29"/>
      <c r="E29" s="29"/>
      <c r="F29" s="29"/>
    </row>
    <row r="30" spans="1:6" x14ac:dyDescent="0.35">
      <c r="A30" s="26" t="s">
        <v>200</v>
      </c>
      <c r="B30" s="29">
        <f>B52*('Red MM'!$B59+'Red MM'!$B60)</f>
        <v>0</v>
      </c>
      <c r="C30" s="29"/>
      <c r="D30" s="29"/>
      <c r="E30" s="29"/>
      <c r="F30" s="29"/>
    </row>
    <row r="31" spans="1:6" x14ac:dyDescent="0.35">
      <c r="A31" s="26" t="s">
        <v>214</v>
      </c>
      <c r="B31" s="33">
        <f>SUM(B23:B30)</f>
        <v>0</v>
      </c>
      <c r="C31" s="33"/>
      <c r="D31" s="33"/>
      <c r="E31" s="33"/>
      <c r="F31" s="33"/>
    </row>
    <row r="33" spans="1:13" x14ac:dyDescent="0.35">
      <c r="A33" s="31"/>
      <c r="B33" s="26"/>
    </row>
    <row r="35" spans="1:13" x14ac:dyDescent="0.35">
      <c r="A35" s="31" t="s">
        <v>217</v>
      </c>
      <c r="E35" s="30">
        <f>ROUNDUP(B31,0)</f>
        <v>0</v>
      </c>
      <c r="F35" t="s">
        <v>220</v>
      </c>
    </row>
    <row r="36" spans="1:13" x14ac:dyDescent="0.35">
      <c r="A36" s="36" t="s">
        <v>252</v>
      </c>
      <c r="B36" s="30">
        <f>'Red MM'!I25</f>
        <v>0</v>
      </c>
      <c r="C36" t="s">
        <v>253</v>
      </c>
    </row>
    <row r="37" spans="1:13" x14ac:dyDescent="0.35">
      <c r="A37" s="31" t="s">
        <v>225</v>
      </c>
      <c r="B37" s="30">
        <f>'Bil grundtal'!C39</f>
        <v>0</v>
      </c>
      <c r="C37" t="s">
        <v>223</v>
      </c>
    </row>
    <row r="38" spans="1:13" x14ac:dyDescent="0.35">
      <c r="A38" s="31"/>
    </row>
    <row r="39" spans="1:13" x14ac:dyDescent="0.35">
      <c r="A39" s="42" t="s">
        <v>304</v>
      </c>
      <c r="B39" s="53">
        <f>E35+B36+B37</f>
        <v>0</v>
      </c>
      <c r="C39" s="42" t="s">
        <v>215</v>
      </c>
      <c r="E39" s="42"/>
    </row>
    <row r="40" spans="1:13" x14ac:dyDescent="0.35">
      <c r="A40" t="s">
        <v>226</v>
      </c>
      <c r="B40" s="30">
        <f>'Red MM'!H24-E35-B37</f>
        <v>0</v>
      </c>
      <c r="C40" t="s">
        <v>236</v>
      </c>
    </row>
    <row r="42" spans="1:13" ht="17.5" x14ac:dyDescent="0.35">
      <c r="A42" s="17" t="s">
        <v>216</v>
      </c>
    </row>
    <row r="43" spans="1:13" x14ac:dyDescent="0.35">
      <c r="A43" t="s">
        <v>218</v>
      </c>
    </row>
    <row r="44" spans="1:13" x14ac:dyDescent="0.35">
      <c r="A44" s="28" t="s">
        <v>192</v>
      </c>
      <c r="B44" s="54" t="s">
        <v>310</v>
      </c>
      <c r="C44" s="28"/>
      <c r="D44" s="28"/>
      <c r="E44" s="28"/>
    </row>
    <row r="45" spans="1:13" x14ac:dyDescent="0.35">
      <c r="A45" t="s">
        <v>193</v>
      </c>
      <c r="B45" s="57">
        <v>0.73</v>
      </c>
      <c r="C45" s="58" t="s">
        <v>312</v>
      </c>
      <c r="D45" s="56"/>
      <c r="E45" s="56"/>
      <c r="F45" s="56"/>
      <c r="G45" s="32"/>
      <c r="H45" s="32"/>
      <c r="I45" s="32"/>
      <c r="J45" s="32"/>
      <c r="K45" s="32"/>
      <c r="L45" s="32"/>
      <c r="M45" s="32"/>
    </row>
    <row r="46" spans="1:13" x14ac:dyDescent="0.35">
      <c r="A46" t="s">
        <v>194</v>
      </c>
      <c r="B46" s="56">
        <v>0.3</v>
      </c>
      <c r="C46" s="34"/>
      <c r="D46" s="34"/>
      <c r="E46" s="34"/>
      <c r="F46" s="34"/>
    </row>
    <row r="47" spans="1:13" x14ac:dyDescent="0.35">
      <c r="A47" t="s">
        <v>195</v>
      </c>
      <c r="B47" s="56">
        <v>0.7</v>
      </c>
      <c r="C47" s="34"/>
      <c r="D47" s="34"/>
      <c r="E47" s="34"/>
      <c r="F47" s="34"/>
    </row>
    <row r="48" spans="1:13" x14ac:dyDescent="0.35">
      <c r="A48" t="s">
        <v>196</v>
      </c>
      <c r="B48" s="57">
        <v>0.53</v>
      </c>
      <c r="C48" s="58" t="s">
        <v>313</v>
      </c>
      <c r="D48" s="56"/>
      <c r="E48" s="56"/>
      <c r="F48" s="56"/>
      <c r="G48" s="32"/>
      <c r="H48" s="32"/>
      <c r="I48" s="32"/>
      <c r="J48" s="32"/>
      <c r="K48" s="32"/>
      <c r="L48" s="32"/>
    </row>
    <row r="49" spans="1:6" x14ac:dyDescent="0.35">
      <c r="A49" t="s">
        <v>197</v>
      </c>
      <c r="B49" s="56">
        <v>0.4</v>
      </c>
      <c r="C49" s="34"/>
      <c r="D49" s="34"/>
      <c r="E49" s="34"/>
      <c r="F49" s="34"/>
    </row>
    <row r="50" spans="1:6" x14ac:dyDescent="0.35">
      <c r="A50" t="s">
        <v>198</v>
      </c>
      <c r="B50" s="56">
        <v>0.9</v>
      </c>
      <c r="C50" s="34"/>
      <c r="D50" s="34"/>
      <c r="E50" s="34"/>
      <c r="F50" s="34"/>
    </row>
    <row r="51" spans="1:6" x14ac:dyDescent="0.35">
      <c r="A51" t="s">
        <v>199</v>
      </c>
      <c r="B51" s="56">
        <v>0.5</v>
      </c>
      <c r="C51" s="34"/>
      <c r="D51" s="34"/>
      <c r="E51" s="34"/>
      <c r="F51" s="34"/>
    </row>
    <row r="52" spans="1:6" x14ac:dyDescent="0.35">
      <c r="A52" t="s">
        <v>200</v>
      </c>
      <c r="B52" s="56">
        <v>0.75</v>
      </c>
      <c r="C52" s="34"/>
      <c r="D52" s="34"/>
      <c r="E52" s="34"/>
      <c r="F52" s="34"/>
    </row>
    <row r="53" spans="1:6" x14ac:dyDescent="0.35">
      <c r="B53" s="32"/>
    </row>
  </sheetData>
  <conditionalFormatting sqref="E35">
    <cfRule type="cellIs" dxfId="38" priority="7" operator="greaterThan">
      <formula>0</formula>
    </cfRule>
  </conditionalFormatting>
  <conditionalFormatting sqref="B37:B38">
    <cfRule type="cellIs" dxfId="37" priority="6" operator="greaterThan">
      <formula>0</formula>
    </cfRule>
  </conditionalFormatting>
  <conditionalFormatting sqref="B40">
    <cfRule type="cellIs" dxfId="36" priority="5" operator="greaterThan">
      <formula>0</formula>
    </cfRule>
  </conditionalFormatting>
  <conditionalFormatting sqref="B36">
    <cfRule type="cellIs" dxfId="35" priority="4" operator="greaterThan">
      <formula>0</formula>
    </cfRule>
  </conditionalFormatting>
  <conditionalFormatting sqref="A7">
    <cfRule type="cellIs" dxfId="34" priority="2" operator="greaterThan">
      <formula>0</formula>
    </cfRule>
    <cfRule type="cellIs" dxfId="33" priority="3" operator="greaterThan">
      <formula>0</formula>
    </cfRule>
  </conditionalFormatting>
  <conditionalFormatting sqref="B39">
    <cfRule type="cellIs" dxfId="32" priority="1" operator="greaterThan">
      <formula>0</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2"/>
  </sheetPr>
  <dimension ref="A4:C47"/>
  <sheetViews>
    <sheetView topLeftCell="A10" workbookViewId="0">
      <selection activeCell="A31" sqref="A31"/>
    </sheetView>
  </sheetViews>
  <sheetFormatPr defaultRowHeight="14.5" x14ac:dyDescent="0.35"/>
  <cols>
    <col min="1" max="1" width="65.90625" customWidth="1"/>
    <col min="2" max="2" width="8.54296875" customWidth="1"/>
  </cols>
  <sheetData>
    <row r="4" spans="1:3" ht="22.5" x14ac:dyDescent="0.45">
      <c r="A4" s="16" t="s">
        <v>238</v>
      </c>
    </row>
    <row r="5" spans="1:3" x14ac:dyDescent="0.35">
      <c r="A5" t="s">
        <v>279</v>
      </c>
    </row>
    <row r="6" spans="1:3" x14ac:dyDescent="0.35">
      <c r="A6" t="s">
        <v>280</v>
      </c>
    </row>
    <row r="7" spans="1:3" x14ac:dyDescent="0.35">
      <c r="A7" s="20" t="s">
        <v>292</v>
      </c>
    </row>
    <row r="9" spans="1:3" ht="17.5" x14ac:dyDescent="0.35">
      <c r="A9" s="17" t="s">
        <v>239</v>
      </c>
    </row>
    <row r="11" spans="1:3" x14ac:dyDescent="0.35">
      <c r="A11" t="s">
        <v>237</v>
      </c>
      <c r="B11" s="20">
        <f>Cykel!I6</f>
        <v>0</v>
      </c>
      <c r="C11" t="s">
        <v>281</v>
      </c>
    </row>
    <row r="13" spans="1:3" ht="17.5" x14ac:dyDescent="0.35">
      <c r="A13" s="17" t="s">
        <v>240</v>
      </c>
    </row>
    <row r="15" spans="1:3" x14ac:dyDescent="0.35">
      <c r="A15" t="s">
        <v>237</v>
      </c>
      <c r="B15" s="20">
        <f>'Bil grundtal'!E5</f>
        <v>0</v>
      </c>
      <c r="C15" t="s">
        <v>282</v>
      </c>
    </row>
    <row r="16" spans="1:3" x14ac:dyDescent="0.35">
      <c r="B16" s="20">
        <f>'Bil grundtal'!E6</f>
        <v>0</v>
      </c>
      <c r="C16" t="s">
        <v>283</v>
      </c>
    </row>
    <row r="17" spans="1:3" x14ac:dyDescent="0.35">
      <c r="B17" s="20">
        <f>SUM(B15:B16)</f>
        <v>0</v>
      </c>
      <c r="C17" s="26" t="s">
        <v>284</v>
      </c>
    </row>
    <row r="18" spans="1:3" x14ac:dyDescent="0.35">
      <c r="A18" t="s">
        <v>261</v>
      </c>
      <c r="B18" s="30">
        <f>IF(B17=0,0,(IF(B17&lt;11,1,(B17*Förutsättningar!B12))))</f>
        <v>0</v>
      </c>
      <c r="C18" t="s">
        <v>306</v>
      </c>
    </row>
    <row r="20" spans="1:3" ht="17.5" x14ac:dyDescent="0.35">
      <c r="A20" s="17" t="s">
        <v>241</v>
      </c>
    </row>
    <row r="22" spans="1:3" x14ac:dyDescent="0.35">
      <c r="A22" t="s">
        <v>237</v>
      </c>
      <c r="B22" s="20">
        <f>'Red bilpool'!I7+'Red bilpool'!J8+'Red bilpool'!I11+'Red bilpool'!I14+'Red bilpool'!I17</f>
        <v>0</v>
      </c>
      <c r="C22" t="s">
        <v>285</v>
      </c>
    </row>
    <row r="23" spans="1:3" x14ac:dyDescent="0.35">
      <c r="B23" s="20">
        <f>'Red bilpool'!I20+'Red bilpool'!J21</f>
        <v>0</v>
      </c>
      <c r="C23" t="s">
        <v>286</v>
      </c>
    </row>
    <row r="24" spans="1:3" x14ac:dyDescent="0.35">
      <c r="A24" t="s">
        <v>247</v>
      </c>
      <c r="B24" s="20">
        <f>'Red bilpool'!J25</f>
        <v>0</v>
      </c>
      <c r="C24" t="s">
        <v>257</v>
      </c>
    </row>
    <row r="25" spans="1:3" x14ac:dyDescent="0.35">
      <c r="A25" t="s">
        <v>261</v>
      </c>
      <c r="B25" s="30">
        <f>B18</f>
        <v>0</v>
      </c>
      <c r="C25" t="s">
        <v>306</v>
      </c>
    </row>
    <row r="26" spans="1:3" x14ac:dyDescent="0.35">
      <c r="A26" s="26" t="s">
        <v>290</v>
      </c>
      <c r="B26" s="20">
        <f>'Red bilpool'!M37-B24</f>
        <v>0</v>
      </c>
      <c r="C26" s="26" t="s">
        <v>287</v>
      </c>
    </row>
    <row r="28" spans="1:3" ht="17.5" x14ac:dyDescent="0.35">
      <c r="A28" s="17" t="s">
        <v>242</v>
      </c>
    </row>
    <row r="30" spans="1:3" x14ac:dyDescent="0.35">
      <c r="A30" t="s">
        <v>237</v>
      </c>
      <c r="B30" s="20">
        <f>'Red MM'!H7+'Red MM'!I8+'Red MM'!H11+'Red MM'!H14+'Red MM'!H17</f>
        <v>0</v>
      </c>
      <c r="C30" t="s">
        <v>288</v>
      </c>
    </row>
    <row r="31" spans="1:3" x14ac:dyDescent="0.35">
      <c r="B31" s="20">
        <f>'Red MM'!H20+'Red MM'!I21</f>
        <v>0</v>
      </c>
      <c r="C31" t="s">
        <v>289</v>
      </c>
    </row>
    <row r="32" spans="1:3" x14ac:dyDescent="0.35">
      <c r="A32" t="s">
        <v>247</v>
      </c>
      <c r="B32" s="30">
        <f>B24</f>
        <v>0</v>
      </c>
      <c r="C32" t="s">
        <v>262</v>
      </c>
    </row>
    <row r="33" spans="1:3" x14ac:dyDescent="0.35">
      <c r="A33" t="s">
        <v>261</v>
      </c>
      <c r="B33" s="30">
        <f>B18</f>
        <v>0</v>
      </c>
      <c r="C33" t="s">
        <v>306</v>
      </c>
    </row>
    <row r="34" spans="1:3" x14ac:dyDescent="0.35">
      <c r="A34" s="26" t="s">
        <v>290</v>
      </c>
      <c r="B34" s="30">
        <f>'Red MM'!I42-B32</f>
        <v>0</v>
      </c>
      <c r="C34" s="26" t="s">
        <v>287</v>
      </c>
    </row>
    <row r="36" spans="1:3" ht="17.5" x14ac:dyDescent="0.35">
      <c r="A36" s="17" t="s">
        <v>308</v>
      </c>
    </row>
    <row r="38" spans="1:3" x14ac:dyDescent="0.35">
      <c r="A38" t="s">
        <v>237</v>
      </c>
      <c r="B38" s="30">
        <f>'Red samnyttjande Kopparlunden'!E35</f>
        <v>0</v>
      </c>
      <c r="C38" t="s">
        <v>243</v>
      </c>
    </row>
    <row r="39" spans="1:3" x14ac:dyDescent="0.35">
      <c r="A39" t="s">
        <v>261</v>
      </c>
      <c r="B39" s="30">
        <f>B18</f>
        <v>0</v>
      </c>
      <c r="C39" t="s">
        <v>306</v>
      </c>
    </row>
    <row r="40" spans="1:3" x14ac:dyDescent="0.35">
      <c r="A40" t="s">
        <v>247</v>
      </c>
      <c r="B40" s="30">
        <f>B32</f>
        <v>0</v>
      </c>
      <c r="C40" t="s">
        <v>257</v>
      </c>
    </row>
    <row r="42" spans="1:3" x14ac:dyDescent="0.35">
      <c r="A42" t="s">
        <v>307</v>
      </c>
      <c r="B42" s="30">
        <f>B38+B40</f>
        <v>0</v>
      </c>
      <c r="C42" t="s">
        <v>170</v>
      </c>
    </row>
    <row r="44" spans="1:3" x14ac:dyDescent="0.35">
      <c r="A44" s="26" t="s">
        <v>290</v>
      </c>
      <c r="B44" s="30">
        <f>'Red samnyttjande Kopparlunden'!B40+B34</f>
        <v>0</v>
      </c>
      <c r="C44" s="26" t="s">
        <v>287</v>
      </c>
    </row>
    <row r="47" spans="1:3" ht="17.5" x14ac:dyDescent="0.35">
      <c r="A47" s="17"/>
    </row>
  </sheetData>
  <conditionalFormatting sqref="B11">
    <cfRule type="cellIs" dxfId="31" priority="57" operator="greaterThan">
      <formula>0</formula>
    </cfRule>
    <cfRule type="cellIs" dxfId="30" priority="58" operator="greaterThan">
      <formula>0</formula>
    </cfRule>
  </conditionalFormatting>
  <conditionalFormatting sqref="B15">
    <cfRule type="cellIs" dxfId="29" priority="55" operator="greaterThan">
      <formula>0</formula>
    </cfRule>
    <cfRule type="cellIs" dxfId="28" priority="56" operator="greaterThan">
      <formula>0</formula>
    </cfRule>
  </conditionalFormatting>
  <conditionalFormatting sqref="B16:B17">
    <cfRule type="cellIs" dxfId="27" priority="53" operator="greaterThan">
      <formula>0</formula>
    </cfRule>
    <cfRule type="cellIs" dxfId="26" priority="54" operator="greaterThan">
      <formula>0</formula>
    </cfRule>
  </conditionalFormatting>
  <conditionalFormatting sqref="B22">
    <cfRule type="cellIs" dxfId="25" priority="51" operator="greaterThan">
      <formula>0</formula>
    </cfRule>
    <cfRule type="cellIs" dxfId="24" priority="52" operator="greaterThan">
      <formula>0</formula>
    </cfRule>
  </conditionalFormatting>
  <conditionalFormatting sqref="B23:B24">
    <cfRule type="cellIs" dxfId="23" priority="49" operator="greaterThan">
      <formula>0</formula>
    </cfRule>
    <cfRule type="cellIs" dxfId="22" priority="50" operator="greaterThan">
      <formula>0</formula>
    </cfRule>
  </conditionalFormatting>
  <conditionalFormatting sqref="B30">
    <cfRule type="cellIs" dxfId="21" priority="47" operator="greaterThan">
      <formula>0</formula>
    </cfRule>
    <cfRule type="cellIs" dxfId="20" priority="48" operator="greaterThan">
      <formula>0</formula>
    </cfRule>
  </conditionalFormatting>
  <conditionalFormatting sqref="B31">
    <cfRule type="cellIs" dxfId="19" priority="45" operator="greaterThan">
      <formula>0</formula>
    </cfRule>
    <cfRule type="cellIs" dxfId="18" priority="46" operator="greaterThan">
      <formula>0</formula>
    </cfRule>
  </conditionalFormatting>
  <conditionalFormatting sqref="B34">
    <cfRule type="cellIs" dxfId="17" priority="43" operator="greaterThan">
      <formula>0</formula>
    </cfRule>
  </conditionalFormatting>
  <conditionalFormatting sqref="B38:B40 B42">
    <cfRule type="cellIs" dxfId="16" priority="41" operator="greaterThan">
      <formula>0</formula>
    </cfRule>
    <cfRule type="cellIs" dxfId="15" priority="42" operator="greaterThan">
      <formula>0</formula>
    </cfRule>
  </conditionalFormatting>
  <conditionalFormatting sqref="B44">
    <cfRule type="cellIs" dxfId="14" priority="39" operator="greaterThan">
      <formula>0</formula>
    </cfRule>
    <cfRule type="cellIs" dxfId="13" priority="40" operator="greaterThan">
      <formula>0</formula>
    </cfRule>
  </conditionalFormatting>
  <conditionalFormatting sqref="B18">
    <cfRule type="cellIs" dxfId="12" priority="31" operator="greaterThan">
      <formula>0</formula>
    </cfRule>
    <cfRule type="cellIs" dxfId="11" priority="32" operator="greaterThan">
      <formula>0</formula>
    </cfRule>
  </conditionalFormatting>
  <conditionalFormatting sqref="B32">
    <cfRule type="cellIs" dxfId="10" priority="27" operator="greaterThan">
      <formula>0</formula>
    </cfRule>
  </conditionalFormatting>
  <conditionalFormatting sqref="B25">
    <cfRule type="cellIs" dxfId="9" priority="19" operator="greaterThan">
      <formula>0</formula>
    </cfRule>
    <cfRule type="cellIs" dxfId="8" priority="20" operator="greaterThan">
      <formula>0</formula>
    </cfRule>
  </conditionalFormatting>
  <conditionalFormatting sqref="B33">
    <cfRule type="cellIs" dxfId="7" priority="17" operator="greaterThan">
      <formula>0</formula>
    </cfRule>
    <cfRule type="cellIs" dxfId="6" priority="18" operator="greaterThan">
      <formula>0</formula>
    </cfRule>
  </conditionalFormatting>
  <conditionalFormatting sqref="B39">
    <cfRule type="cellIs" dxfId="5" priority="15" operator="greaterThan">
      <formula>0</formula>
    </cfRule>
    <cfRule type="cellIs" dxfId="4" priority="16" operator="greaterThan">
      <formula>0</formula>
    </cfRule>
  </conditionalFormatting>
  <conditionalFormatting sqref="B26">
    <cfRule type="cellIs" dxfId="3" priority="1" operator="greaterThan">
      <formula>0</formula>
    </cfRule>
    <cfRule type="cellIs" dxfId="2" priority="2" operator="greaterThan">
      <formula>0</formula>
    </cfRule>
  </conditionalFormatting>
  <conditionalFormatting sqref="A7">
    <cfRule type="cellIs" dxfId="1" priority="13" operator="greaterThan">
      <formula>0</formula>
    </cfRule>
    <cfRule type="cellIs" dxfId="0" priority="14" operator="greaterThan">
      <formula>0</formula>
    </cfRule>
  </conditionalFormatting>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11</vt:i4>
      </vt:variant>
    </vt:vector>
  </HeadingPairs>
  <TitlesOfParts>
    <vt:vector size="11" baseType="lpstr">
      <vt:lpstr>Introduktion</vt:lpstr>
      <vt:lpstr>Förutsättningar</vt:lpstr>
      <vt:lpstr>Resultatsammanfattning</vt:lpstr>
      <vt:lpstr>Cykel</vt:lpstr>
      <vt:lpstr>Bil grundtal</vt:lpstr>
      <vt:lpstr>Red bilpool</vt:lpstr>
      <vt:lpstr>Red MM</vt:lpstr>
      <vt:lpstr>Red samnyttjande Kopparlunden</vt:lpstr>
      <vt:lpstr>Detaljerat resultat</vt:lpstr>
      <vt:lpstr>Ptal bil</vt:lpstr>
      <vt:lpstr>Ptal cykel</vt:lpstr>
    </vt:vector>
  </TitlesOfParts>
  <Company>Västerås stad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Viklund, Linnea</dc:creator>
  <cp:lastModifiedBy>José Rufo Gonzalez</cp:lastModifiedBy>
  <dcterms:created xsi:type="dcterms:W3CDTF">2014-07-21T13:26:14Z</dcterms:created>
  <dcterms:modified xsi:type="dcterms:W3CDTF">2022-06-02T07:10:33Z</dcterms:modified>
</cp:coreProperties>
</file>