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defaultThemeVersion="124226"/>
  <mc:AlternateContent xmlns:mc="http://schemas.openxmlformats.org/markup-compatibility/2006">
    <mc:Choice Requires="x15">
      <x15ac:absPath xmlns:x15ac="http://schemas.microsoft.com/office/spreadsheetml/2010/11/ac" url="G:\TeknikoFastighetsforvaltning\T Trafik &amp; Tillståndsenhet\Strategiska dokument\Program och riktlinjer för parkering\8. Nämndinitiativ om höjning av parkeringsnormen 2021\P-snurra\"/>
    </mc:Choice>
  </mc:AlternateContent>
  <xr:revisionPtr revIDLastSave="0" documentId="13_ncr:1_{107E3002-7F0D-4F45-B866-97D6157656B4}" xr6:coauthVersionLast="46" xr6:coauthVersionMax="46" xr10:uidLastSave="{00000000-0000-0000-0000-000000000000}"/>
  <bookViews>
    <workbookView xWindow="-110" yWindow="-110" windowWidth="19420" windowHeight="10420" tabRatio="615" xr2:uid="{00000000-000D-0000-FFFF-FFFF00000000}"/>
  </bookViews>
  <sheets>
    <sheet name="Introduktion" sheetId="6" r:id="rId1"/>
    <sheet name="Checklista" sheetId="11" r:id="rId2"/>
    <sheet name="Förutsättningar" sheetId="3" r:id="rId3"/>
    <sheet name="Resultat" sheetId="12" r:id="rId4"/>
    <sheet name="Cykel" sheetId="4" r:id="rId5"/>
    <sheet name="Bil grundtal" sheetId="5" r:id="rId6"/>
    <sheet name="Red bilpool" sheetId="7" r:id="rId7"/>
    <sheet name="Red MM" sheetId="8" r:id="rId8"/>
    <sheet name="Red samnyttjande ALLA" sheetId="9" r:id="rId9"/>
    <sheet name="Red samnyttjande DELVIS" sheetId="10" r:id="rId10"/>
    <sheet name="Ptal bil" sheetId="1" r:id="rId11"/>
    <sheet name="Ptal cykel" sheetId="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I10" i="1"/>
  <c r="I11" i="1"/>
  <c r="I12" i="1"/>
  <c r="I13" i="1"/>
  <c r="I14" i="1"/>
  <c r="I15" i="1"/>
  <c r="I16" i="1"/>
  <c r="I17" i="1"/>
  <c r="I18" i="1"/>
  <c r="I7" i="1"/>
  <c r="H8" i="1"/>
  <c r="H10" i="1"/>
  <c r="H11" i="1"/>
  <c r="H12" i="1"/>
  <c r="H13" i="1"/>
  <c r="H14" i="1"/>
  <c r="H15" i="1"/>
  <c r="H16" i="1"/>
  <c r="H17" i="1"/>
  <c r="H18" i="1"/>
  <c r="H7" i="1"/>
  <c r="I4" i="1"/>
  <c r="I3" i="1"/>
  <c r="C49" i="10"/>
  <c r="B9" i="10" l="1"/>
  <c r="B49" i="10" l="1"/>
  <c r="D49" i="10" l="1"/>
  <c r="E49" i="10"/>
  <c r="C50" i="10"/>
  <c r="D50" i="10"/>
  <c r="E50" i="10"/>
  <c r="C51" i="10"/>
  <c r="D51" i="10"/>
  <c r="E51" i="10"/>
  <c r="C52" i="10"/>
  <c r="D52" i="10"/>
  <c r="E52" i="10"/>
  <c r="C53" i="10"/>
  <c r="D53" i="10"/>
  <c r="E53" i="10"/>
  <c r="C54" i="10"/>
  <c r="D54" i="10"/>
  <c r="E54" i="10"/>
  <c r="C55" i="10"/>
  <c r="D55" i="10"/>
  <c r="E55" i="10"/>
  <c r="C56" i="10"/>
  <c r="D56" i="10"/>
  <c r="E56" i="10"/>
  <c r="B56" i="10"/>
  <c r="B55" i="10"/>
  <c r="B54" i="10"/>
  <c r="B53" i="10"/>
  <c r="B52" i="10"/>
  <c r="B51" i="10"/>
  <c r="B50" i="10"/>
  <c r="D57" i="10" l="1"/>
  <c r="E57" i="10"/>
  <c r="C57" i="10"/>
  <c r="B57" i="10"/>
  <c r="B9" i="9"/>
  <c r="C61" i="10" l="1"/>
  <c r="B59" i="10" s="1"/>
  <c r="B9" i="8"/>
  <c r="B9" i="7" l="1"/>
  <c r="B9" i="5" l="1"/>
  <c r="B9" i="4"/>
  <c r="B43" i="5" l="1"/>
  <c r="B47" i="5"/>
  <c r="C47" i="5" s="1"/>
  <c r="B41" i="7" s="1"/>
  <c r="B12" i="4"/>
  <c r="B32" i="4"/>
  <c r="C9" i="5"/>
  <c r="B25" i="5"/>
  <c r="C25" i="5" s="1"/>
  <c r="B51" i="4"/>
  <c r="B47" i="4"/>
  <c r="B43" i="4"/>
  <c r="B41" i="4"/>
  <c r="B52" i="4"/>
  <c r="B50" i="4"/>
  <c r="B48" i="4"/>
  <c r="B46" i="4"/>
  <c r="B44" i="4"/>
  <c r="B42" i="4"/>
  <c r="B40" i="4"/>
  <c r="B38" i="4"/>
  <c r="B16" i="4"/>
  <c r="B49" i="4"/>
  <c r="B45" i="4"/>
  <c r="B39" i="4"/>
  <c r="B15" i="4"/>
  <c r="B60" i="5"/>
  <c r="C60" i="5" s="1"/>
  <c r="B58" i="7" s="1"/>
  <c r="B61" i="5"/>
  <c r="C61" i="5" s="1"/>
  <c r="B59" i="7" s="1"/>
  <c r="B59" i="5"/>
  <c r="C59" i="5" s="1"/>
  <c r="B57" i="7" s="1"/>
  <c r="B53" i="5"/>
  <c r="C53" i="5" s="1"/>
  <c r="B51" i="7" s="1"/>
  <c r="B19" i="4"/>
  <c r="B21" i="4"/>
  <c r="B20" i="4"/>
  <c r="B18" i="4"/>
  <c r="B57" i="5"/>
  <c r="B56" i="5"/>
  <c r="B55" i="5"/>
  <c r="B52" i="5"/>
  <c r="B49" i="5"/>
  <c r="B50" i="5"/>
  <c r="B34" i="5"/>
  <c r="C34" i="5" s="1"/>
  <c r="B40" i="5"/>
  <c r="H31" i="7" s="1"/>
  <c r="B39" i="5"/>
  <c r="H17" i="7" s="1"/>
  <c r="B23" i="5"/>
  <c r="C23" i="5" s="1"/>
  <c r="B12" i="5"/>
  <c r="B46" i="5"/>
  <c r="C46" i="5" s="1"/>
  <c r="B44" i="5"/>
  <c r="B35" i="5"/>
  <c r="C35" i="5" s="1"/>
  <c r="B36" i="5"/>
  <c r="C36" i="5" s="1"/>
  <c r="B21" i="5"/>
  <c r="C21" i="5" s="1"/>
  <c r="B28" i="5"/>
  <c r="C28" i="5" s="1"/>
  <c r="B26" i="5"/>
  <c r="C26" i="5" s="1"/>
  <c r="B20" i="5"/>
  <c r="C20" i="5" s="1"/>
  <c r="B22" i="5"/>
  <c r="C22" i="5" s="1"/>
  <c r="B27" i="5"/>
  <c r="C27" i="5" s="1"/>
  <c r="B16" i="5"/>
  <c r="C16" i="5" s="1"/>
  <c r="B17" i="5"/>
  <c r="C17" i="5" s="1"/>
  <c r="B13" i="5"/>
  <c r="B24" i="4"/>
  <c r="B26" i="4"/>
  <c r="B23" i="4"/>
  <c r="B25" i="4"/>
  <c r="B65" i="5" l="1"/>
  <c r="B63" i="5"/>
  <c r="B43" i="7"/>
  <c r="B44" i="8" s="1"/>
  <c r="H34" i="7"/>
  <c r="H11" i="7"/>
  <c r="I11" i="7" s="1"/>
  <c r="G11" i="8"/>
  <c r="B64" i="5"/>
  <c r="C40" i="5"/>
  <c r="B30" i="7"/>
  <c r="H14" i="7" s="1"/>
  <c r="H32" i="7" s="1"/>
  <c r="C13" i="5"/>
  <c r="C43" i="5"/>
  <c r="B48" i="8"/>
  <c r="C50" i="5"/>
  <c r="B47" i="7" s="1"/>
  <c r="C52" i="5"/>
  <c r="B49" i="7" s="1"/>
  <c r="B50" i="8" s="1"/>
  <c r="B52" i="8"/>
  <c r="C57" i="5"/>
  <c r="B55" i="7" s="1"/>
  <c r="B56" i="8" s="1"/>
  <c r="B28" i="4"/>
  <c r="C44" i="5"/>
  <c r="C12" i="5"/>
  <c r="B64" i="10"/>
  <c r="I17" i="7"/>
  <c r="G17" i="8"/>
  <c r="H17" i="8" s="1"/>
  <c r="C39" i="5"/>
  <c r="C49" i="5"/>
  <c r="B45" i="7" s="1"/>
  <c r="B46" i="8" s="1"/>
  <c r="C55" i="5"/>
  <c r="B53" i="7" s="1"/>
  <c r="B54" i="8" s="1"/>
  <c r="C56" i="5"/>
  <c r="B54" i="7" s="1"/>
  <c r="B55" i="8" s="1"/>
  <c r="B29" i="4"/>
  <c r="I6" i="4" s="1"/>
  <c r="B11" i="12" s="1"/>
  <c r="B60" i="8"/>
  <c r="B58" i="8"/>
  <c r="B40" i="10" s="1"/>
  <c r="B59" i="8"/>
  <c r="B42" i="8"/>
  <c r="B28" i="10" s="1"/>
  <c r="G37" i="8"/>
  <c r="J37" i="8" s="1"/>
  <c r="G33" i="8"/>
  <c r="J33" i="8" s="1"/>
  <c r="K31" i="7"/>
  <c r="B31" i="5"/>
  <c r="C31" i="5" s="1"/>
  <c r="B30" i="5"/>
  <c r="B37" i="7" l="1"/>
  <c r="H20" i="7" s="1"/>
  <c r="I20" i="7" s="1"/>
  <c r="C63" i="5"/>
  <c r="E9" i="5" s="1"/>
  <c r="C65" i="5"/>
  <c r="B37" i="9"/>
  <c r="E5" i="5"/>
  <c r="B15" i="12" s="1"/>
  <c r="B39" i="7"/>
  <c r="H21" i="7" s="1"/>
  <c r="J21" i="7" s="1"/>
  <c r="C64" i="5"/>
  <c r="E6" i="5" s="1"/>
  <c r="B16" i="12" s="1"/>
  <c r="K34" i="7"/>
  <c r="M19" i="5"/>
  <c r="B31" i="8"/>
  <c r="G14" i="8" s="1"/>
  <c r="H14" i="8" s="1"/>
  <c r="G35" i="8" s="1"/>
  <c r="D28" i="9"/>
  <c r="B43" i="10"/>
  <c r="K44" i="10" s="1"/>
  <c r="C28" i="9"/>
  <c r="B34" i="10"/>
  <c r="K35" i="10" s="1"/>
  <c r="K29" i="10"/>
  <c r="B37" i="10"/>
  <c r="K38" i="10" s="1"/>
  <c r="B38" i="8"/>
  <c r="G20" i="8" s="1"/>
  <c r="H20" i="8" s="1"/>
  <c r="C30" i="5"/>
  <c r="B27" i="9"/>
  <c r="E27" i="9"/>
  <c r="D27" i="9"/>
  <c r="B28" i="9"/>
  <c r="E28" i="9"/>
  <c r="C27" i="9"/>
  <c r="H11" i="8"/>
  <c r="D25" i="9"/>
  <c r="B25" i="9"/>
  <c r="C25" i="9"/>
  <c r="E25" i="9"/>
  <c r="K41" i="10"/>
  <c r="D29" i="9"/>
  <c r="B29" i="9"/>
  <c r="C29" i="9"/>
  <c r="E29" i="9"/>
  <c r="B30" i="9"/>
  <c r="C30" i="9"/>
  <c r="E30" i="9"/>
  <c r="D30" i="9"/>
  <c r="I14" i="7"/>
  <c r="I24" i="7" l="1"/>
  <c r="H25" i="7" s="1"/>
  <c r="J25" i="7" s="1"/>
  <c r="B24" i="12" s="1"/>
  <c r="B61" i="7"/>
  <c r="H35" i="7"/>
  <c r="B40" i="8"/>
  <c r="D26" i="9" s="1"/>
  <c r="E8" i="5"/>
  <c r="H28" i="7"/>
  <c r="K28" i="7" s="1"/>
  <c r="B16" i="7"/>
  <c r="B17" i="8" s="1"/>
  <c r="B28" i="7"/>
  <c r="B29" i="8" s="1"/>
  <c r="B26" i="7"/>
  <c r="B27" i="8" s="1"/>
  <c r="B21" i="7"/>
  <c r="B22" i="8" s="1"/>
  <c r="L32" i="7"/>
  <c r="N34" i="8"/>
  <c r="B17" i="12"/>
  <c r="B18" i="12" s="1"/>
  <c r="B18" i="7"/>
  <c r="B19" i="8" s="1"/>
  <c r="G29" i="8"/>
  <c r="J29" i="8" s="1"/>
  <c r="B23" i="7"/>
  <c r="B24" i="8" s="1"/>
  <c r="C22" i="10"/>
  <c r="N35" i="8"/>
  <c r="C21" i="10"/>
  <c r="B62" i="8" l="1"/>
  <c r="B26" i="9"/>
  <c r="B31" i="10"/>
  <c r="K32" i="10" s="1"/>
  <c r="E26" i="9"/>
  <c r="C26" i="9"/>
  <c r="B40" i="12"/>
  <c r="B25" i="12"/>
  <c r="B33" i="12"/>
  <c r="G21" i="8"/>
  <c r="I21" i="8" s="1"/>
  <c r="H7" i="7"/>
  <c r="I7" i="7" s="1"/>
  <c r="L35" i="7"/>
  <c r="B23" i="12"/>
  <c r="G7" i="8"/>
  <c r="B23" i="9" s="1"/>
  <c r="G8" i="8"/>
  <c r="I8" i="8" s="1"/>
  <c r="B25" i="10" s="1"/>
  <c r="O38" i="8"/>
  <c r="H8" i="7"/>
  <c r="J8" i="7" s="1"/>
  <c r="K24" i="7" l="1"/>
  <c r="K26" i="10"/>
  <c r="C23" i="9"/>
  <c r="L29" i="7"/>
  <c r="M37" i="7" s="1"/>
  <c r="M38" i="7"/>
  <c r="B22" i="12"/>
  <c r="G39" i="8"/>
  <c r="O39" i="8" s="1"/>
  <c r="B31" i="12"/>
  <c r="B24" i="9"/>
  <c r="E24" i="9"/>
  <c r="H7" i="8"/>
  <c r="D24" i="9"/>
  <c r="C24" i="9"/>
  <c r="D23" i="9"/>
  <c r="E23" i="9"/>
  <c r="H29" i="7"/>
  <c r="G25" i="8"/>
  <c r="I25" i="8" s="1"/>
  <c r="B19" i="10" l="1"/>
  <c r="K23" i="10" s="1"/>
  <c r="C62" i="10" s="1"/>
  <c r="J24" i="8"/>
  <c r="H24" i="8"/>
  <c r="N30" i="8"/>
  <c r="I41" i="8" s="1"/>
  <c r="B30" i="12"/>
  <c r="C31" i="9"/>
  <c r="G31" i="8"/>
  <c r="N31" i="8" s="1"/>
  <c r="I42" i="8" s="1"/>
  <c r="C20" i="10"/>
  <c r="D31" i="9"/>
  <c r="E31" i="9"/>
  <c r="B31" i="9"/>
  <c r="B26" i="12"/>
  <c r="B67" i="10" l="1"/>
  <c r="E35" i="9"/>
  <c r="B32" i="12"/>
  <c r="C63" i="10"/>
  <c r="C66" i="10" s="1"/>
  <c r="B36" i="9"/>
  <c r="B33" i="9" l="1"/>
  <c r="B39" i="9"/>
  <c r="B40" i="9"/>
  <c r="B38" i="12"/>
  <c r="B39" i="12"/>
  <c r="B34" i="12"/>
  <c r="B41" i="12" l="1"/>
</calcChain>
</file>

<file path=xl/sharedStrings.xml><?xml version="1.0" encoding="utf-8"?>
<sst xmlns="http://schemas.openxmlformats.org/spreadsheetml/2006/main" count="785" uniqueCount="443">
  <si>
    <t>Markanvändning</t>
  </si>
  <si>
    <t>Zon 1</t>
  </si>
  <si>
    <t>Zon 2</t>
  </si>
  <si>
    <t>Zon 3</t>
  </si>
  <si>
    <t>Zon 4</t>
  </si>
  <si>
    <t>Zon 5</t>
  </si>
  <si>
    <r>
      <t>Lägenheter i flerbostadshus</t>
    </r>
    <r>
      <rPr>
        <sz val="11"/>
        <color theme="1"/>
        <rFont val="Times New Roman"/>
        <family val="1"/>
      </rPr>
      <t>, bilplatser per 1000 kvm BTA exkl besök</t>
    </r>
  </si>
  <si>
    <r>
      <t>Lägenheter i flerbostadshus</t>
    </r>
    <r>
      <rPr>
        <sz val="11"/>
        <color theme="1"/>
        <rFont val="Times New Roman"/>
        <family val="1"/>
      </rPr>
      <t>, bilplatser per 1000 kvm BTA inkl besök</t>
    </r>
  </si>
  <si>
    <r>
      <t>Lägenhet i flerbostadshus</t>
    </r>
    <r>
      <rPr>
        <sz val="11"/>
        <color theme="1"/>
        <rFont val="Times New Roman"/>
        <family val="1"/>
      </rPr>
      <t>, bilplatser per genomsnittlig lägenhet exkl besök</t>
    </r>
  </si>
  <si>
    <t>Bilplatser per lägenhet, 1 rum, exkl besök</t>
  </si>
  <si>
    <t>Bilplatser per lägenhet, 2 rum, exkl besök</t>
  </si>
  <si>
    <t>Bilplatser per lägenhet, 3 rum, exkl besök</t>
  </si>
  <si>
    <t>Bilplatser per lägenhet, 4 rum, exkl besök</t>
  </si>
  <si>
    <r>
      <t>Lägenhet i flerbostadshus</t>
    </r>
    <r>
      <rPr>
        <sz val="11"/>
        <color theme="1"/>
        <rFont val="Times New Roman"/>
        <family val="1"/>
      </rPr>
      <t>, bilplatser per genomsnittlig lägenhet inkl besök</t>
    </r>
  </si>
  <si>
    <t>Bilplatser per lägenhet, 1 rum, inkl besök</t>
  </si>
  <si>
    <t>Bilplatser per lägenhet, 2 rum, inkl besök</t>
  </si>
  <si>
    <t>Bilplatser per lägenhet, 3 rum, inkl besök</t>
  </si>
  <si>
    <t>Bilplatser per lägenhet, 4 rum, inkl besök</t>
  </si>
  <si>
    <r>
      <t>Studentbostäder</t>
    </r>
    <r>
      <rPr>
        <sz val="11"/>
        <color theme="1"/>
        <rFont val="Times New Roman"/>
        <family val="1"/>
      </rPr>
      <t>, bilplatser per studentrum i korridor</t>
    </r>
  </si>
  <si>
    <r>
      <t>Studentbostäder</t>
    </r>
    <r>
      <rPr>
        <sz val="11"/>
        <color theme="1"/>
        <rFont val="Times New Roman"/>
        <family val="1"/>
      </rPr>
      <t>, bilplatser per studentlägenhet</t>
    </r>
  </si>
  <si>
    <r>
      <t>Studentbostäder</t>
    </r>
    <r>
      <rPr>
        <sz val="11"/>
        <color theme="1"/>
        <rFont val="Times New Roman"/>
        <family val="1"/>
      </rPr>
      <t>, bilplatser per 1000 kvm BTA</t>
    </r>
  </si>
  <si>
    <r>
      <t xml:space="preserve">Småhus </t>
    </r>
    <r>
      <rPr>
        <sz val="11"/>
        <color theme="1"/>
        <rFont val="Times New Roman"/>
        <family val="1"/>
      </rPr>
      <t>med parkering på tomten, per enhet</t>
    </r>
  </si>
  <si>
    <r>
      <t xml:space="preserve">Småhus/radhus </t>
    </r>
    <r>
      <rPr>
        <sz val="11"/>
        <color theme="1"/>
        <rFont val="Times New Roman"/>
        <family val="1"/>
      </rPr>
      <t>med gemensam parkering, per enhet</t>
    </r>
  </si>
  <si>
    <r>
      <t>Kontor</t>
    </r>
    <r>
      <rPr>
        <sz val="11"/>
        <color theme="1"/>
        <rFont val="Times New Roman"/>
        <family val="1"/>
      </rPr>
      <t>, bilplatser per 1000 kvm BTA, exkl besök</t>
    </r>
  </si>
  <si>
    <r>
      <t>Kontor</t>
    </r>
    <r>
      <rPr>
        <sz val="11"/>
        <color theme="1"/>
        <rFont val="Times New Roman"/>
        <family val="1"/>
      </rPr>
      <t xml:space="preserve">, bilplatser per 1000 kvm BTA, inkl besök </t>
    </r>
  </si>
  <si>
    <r>
      <t>Industri och hantverk</t>
    </r>
    <r>
      <rPr>
        <sz val="11"/>
        <color theme="1"/>
        <rFont val="Times New Roman"/>
        <family val="1"/>
      </rPr>
      <t>, bilplatser per 1000 kvm BTA, exkl besök</t>
    </r>
  </si>
  <si>
    <r>
      <t>Industri och hantverk</t>
    </r>
    <r>
      <rPr>
        <sz val="11"/>
        <color theme="1"/>
        <rFont val="Times New Roman"/>
        <family val="1"/>
      </rPr>
      <t>, bilplatser per 1000 kvm BTA, inkl besök</t>
    </r>
  </si>
  <si>
    <r>
      <t>Skola</t>
    </r>
    <r>
      <rPr>
        <sz val="11"/>
        <color theme="1"/>
        <rFont val="Times New Roman"/>
        <family val="1"/>
      </rPr>
      <t>, bilplatser per 1000 kvm BTA</t>
    </r>
  </si>
  <si>
    <r>
      <t>Förskola</t>
    </r>
    <r>
      <rPr>
        <sz val="11"/>
        <color theme="1"/>
        <rFont val="Times New Roman"/>
        <family val="1"/>
      </rPr>
      <t>, bilplatser per 1000 kvm BTA</t>
    </r>
  </si>
  <si>
    <r>
      <t>Dagligvarubutiker</t>
    </r>
    <r>
      <rPr>
        <sz val="11"/>
        <color theme="1"/>
        <rFont val="Times New Roman"/>
        <family val="1"/>
      </rPr>
      <t>, bilplatser per 1000 kvm BTA, anställda + besökare</t>
    </r>
  </si>
  <si>
    <r>
      <t>Hotell</t>
    </r>
    <r>
      <rPr>
        <sz val="11"/>
        <color theme="1"/>
        <rFont val="Times New Roman"/>
        <family val="1"/>
      </rPr>
      <t>, bilplatser per rum</t>
    </r>
  </si>
  <si>
    <r>
      <t>Hotell</t>
    </r>
    <r>
      <rPr>
        <sz val="11"/>
        <color theme="1"/>
        <rFont val="Times New Roman"/>
        <family val="1"/>
      </rPr>
      <t>, bilplatser per 1000 kvm BTA</t>
    </r>
  </si>
  <si>
    <r>
      <t>Lunchbar</t>
    </r>
    <r>
      <rPr>
        <sz val="11"/>
        <color theme="1"/>
        <rFont val="Times New Roman"/>
        <family val="1"/>
      </rPr>
      <t>, bilplatser per sittplats</t>
    </r>
  </si>
  <si>
    <r>
      <t>Lunchbar</t>
    </r>
    <r>
      <rPr>
        <sz val="11"/>
        <color theme="1"/>
        <rFont val="Times New Roman"/>
        <family val="1"/>
      </rPr>
      <t>, bilplatser per 1000 kvm BTA</t>
    </r>
  </si>
  <si>
    <r>
      <t>Restaurang</t>
    </r>
    <r>
      <rPr>
        <sz val="11"/>
        <color theme="1"/>
        <rFont val="Times New Roman"/>
        <family val="1"/>
      </rPr>
      <t>, bilplatser per sittplats</t>
    </r>
  </si>
  <si>
    <r>
      <t>Restaurang</t>
    </r>
    <r>
      <rPr>
        <sz val="11"/>
        <color theme="1"/>
        <rFont val="Times New Roman"/>
        <family val="1"/>
      </rPr>
      <t>, bilplatser per 1000 kvm BTA</t>
    </r>
  </si>
  <si>
    <r>
      <t>Bibliotek</t>
    </r>
    <r>
      <rPr>
        <sz val="11"/>
        <color theme="1"/>
        <rFont val="Times New Roman"/>
        <family val="1"/>
      </rPr>
      <t>, bilplatser per 1000 kvm BTA</t>
    </r>
  </si>
  <si>
    <r>
      <t>Lager,</t>
    </r>
    <r>
      <rPr>
        <sz val="11"/>
        <color theme="1"/>
        <rFont val="Times New Roman"/>
        <family val="1"/>
      </rPr>
      <t xml:space="preserve"> bilplatser per 1000 kvm BTA</t>
    </r>
  </si>
  <si>
    <r>
      <t>Lägenheter i flerbostadshus</t>
    </r>
    <r>
      <rPr>
        <sz val="11"/>
        <color theme="1"/>
        <rFont val="Times New Roman"/>
        <family val="1"/>
      </rPr>
      <t>, cykelplatser per 1000 kvm BTA inkl besök</t>
    </r>
  </si>
  <si>
    <r>
      <t>Lägenhet i flerbostadshus</t>
    </r>
    <r>
      <rPr>
        <sz val="11"/>
        <color theme="1"/>
        <rFont val="Times New Roman"/>
        <family val="1"/>
      </rPr>
      <t>, cykelplatser per genomsnittlig lägenhet exkl besök</t>
    </r>
  </si>
  <si>
    <t>Cykelplatser per lägenhet, 1 rum, exkl besök</t>
  </si>
  <si>
    <t>Cykelplatser per lägenhet, 2 rum, exkl besök</t>
  </si>
  <si>
    <t>Cykelplatser per lägenhet, 3 rum, exkl besök</t>
  </si>
  <si>
    <t>Cykelplatser per lägenhet, 4 rum, exkl besök</t>
  </si>
  <si>
    <r>
      <t>Lägenhet i flerbostadshus</t>
    </r>
    <r>
      <rPr>
        <sz val="11"/>
        <color theme="1"/>
        <rFont val="Times New Roman"/>
        <family val="1"/>
      </rPr>
      <t>, cykelplatser per genomsnittlig lägenhet inkl besök</t>
    </r>
  </si>
  <si>
    <t>Cykelplatser per lägenhet, 1 rum, inkl besök</t>
  </si>
  <si>
    <t>Cykelplatser per lägenhet, 2 rum, inkl besök</t>
  </si>
  <si>
    <t>Cykelplatser per lägenhet, 3 rum, inkl besök</t>
  </si>
  <si>
    <t>Cykelplatser per lägenhet, 4 rum, inkl besök</t>
  </si>
  <si>
    <r>
      <t>Studentbostäder</t>
    </r>
    <r>
      <rPr>
        <sz val="11"/>
        <color theme="1"/>
        <rFont val="Times New Roman"/>
        <family val="1"/>
      </rPr>
      <t>, cykelplatser per 1000 kvm BTA</t>
    </r>
  </si>
  <si>
    <r>
      <t>Kontor</t>
    </r>
    <r>
      <rPr>
        <sz val="11"/>
        <color theme="1"/>
        <rFont val="Times New Roman"/>
        <family val="1"/>
      </rPr>
      <t>, cykelplatser per 1000 kvm BTA, exkl besök</t>
    </r>
  </si>
  <si>
    <r>
      <t>Kontor</t>
    </r>
    <r>
      <rPr>
        <sz val="11"/>
        <color theme="1"/>
        <rFont val="Times New Roman"/>
        <family val="1"/>
      </rPr>
      <t xml:space="preserve">, cykelplatser per 1000 kvm BTA, inkl besök </t>
    </r>
  </si>
  <si>
    <r>
      <t>Industri och hantverk</t>
    </r>
    <r>
      <rPr>
        <sz val="11"/>
        <color theme="1"/>
        <rFont val="Times New Roman"/>
        <family val="1"/>
      </rPr>
      <t>, cykelplatser per 1000 kvm BTA, exkl besök</t>
    </r>
  </si>
  <si>
    <r>
      <t>Industri och hantverk</t>
    </r>
    <r>
      <rPr>
        <sz val="11"/>
        <color theme="1"/>
        <rFont val="Times New Roman"/>
        <family val="1"/>
      </rPr>
      <t>, cykelplatser per 1000 kvm BTA, inkl besök</t>
    </r>
  </si>
  <si>
    <r>
      <t>Sällanköpsbutiker</t>
    </r>
    <r>
      <rPr>
        <sz val="11"/>
        <color theme="1"/>
        <rFont val="Times New Roman"/>
        <family val="1"/>
      </rPr>
      <t>, bilplatser per 1000 kvm BTA, anställda + besökare</t>
    </r>
  </si>
  <si>
    <r>
      <t>Hotell</t>
    </r>
    <r>
      <rPr>
        <sz val="11"/>
        <color theme="1"/>
        <rFont val="Times New Roman"/>
        <family val="1"/>
      </rPr>
      <t>, cykelplatser per 1000 kvm BTA</t>
    </r>
  </si>
  <si>
    <r>
      <t>Restaurang</t>
    </r>
    <r>
      <rPr>
        <sz val="11"/>
        <color theme="1"/>
        <rFont val="Times New Roman"/>
        <family val="1"/>
      </rPr>
      <t>, cykelplatser per 1000 kvm BTA</t>
    </r>
  </si>
  <si>
    <r>
      <t>Restaurang</t>
    </r>
    <r>
      <rPr>
        <sz val="11"/>
        <color theme="1"/>
        <rFont val="Times New Roman"/>
        <family val="1"/>
      </rPr>
      <t>, cykelplatser per sittplats</t>
    </r>
  </si>
  <si>
    <r>
      <t>Bibliotek</t>
    </r>
    <r>
      <rPr>
        <sz val="11"/>
        <color theme="1"/>
        <rFont val="Times New Roman"/>
        <family val="1"/>
      </rPr>
      <t>, cykelplatser per 1000 kvm BTA</t>
    </r>
  </si>
  <si>
    <t>Beräkning av parkeringstal för bostäder och verksamheter</t>
  </si>
  <si>
    <t>Ange zonens nummer 1-5</t>
  </si>
  <si>
    <t>Antal kvadratmeter (BTA) bostäder:</t>
  </si>
  <si>
    <t>I vilken zon ligger området:</t>
  </si>
  <si>
    <t>kvadratmeter</t>
  </si>
  <si>
    <t>eller</t>
  </si>
  <si>
    <t>lägenheter</t>
  </si>
  <si>
    <t>Antal lägenheter oavsett storlek:</t>
  </si>
  <si>
    <t>Verksamheter:</t>
  </si>
  <si>
    <t>Antal lägenheter 1 rum och kök:</t>
  </si>
  <si>
    <t>Antal lägenheter 2 rum och kök:</t>
  </si>
  <si>
    <t>Antal lägenheter 3 rum och kök:</t>
  </si>
  <si>
    <t>Antal studentrum i korridor:</t>
  </si>
  <si>
    <t>Antal studentlägenheter:</t>
  </si>
  <si>
    <t>studentrum</t>
  </si>
  <si>
    <t>studentlägenheter</t>
  </si>
  <si>
    <t>Kontor, antal kvadratmeter BTA:</t>
  </si>
  <si>
    <t>Industri och hantverk, antal kvm BTA:</t>
  </si>
  <si>
    <t>Dagligvarubutik, antal kvm BTA:</t>
  </si>
  <si>
    <t>Sällanköpsbutik, antal kvm BTA:</t>
  </si>
  <si>
    <t>Förskola, antal kvm BTA:</t>
  </si>
  <si>
    <t>enheter</t>
  </si>
  <si>
    <t>Området ligger i zon</t>
  </si>
  <si>
    <t>För angivet antal lägenheter med 1 rum och kök:</t>
  </si>
  <si>
    <t>För angivet antal lägenheter med 2 rum och kök:</t>
  </si>
  <si>
    <t>För angivet antal lägenheter med 3 rum och kök:</t>
  </si>
  <si>
    <t>För angivet antal lägenheter med 4 rum och kök:</t>
  </si>
  <si>
    <t>Antal cykelparkeringsplatser för bostäder baserat på antalet lägenheter med känd fördelning:</t>
  </si>
  <si>
    <t>Cykelplatser för verksamheter:</t>
  </si>
  <si>
    <t>Antal småhus med bilparkering på tomten:</t>
  </si>
  <si>
    <t>Antal småhus/radhus med gemensam bilparkering:</t>
  </si>
  <si>
    <t>Antal cykelparkeringsplatser för studentbostäder:</t>
  </si>
  <si>
    <t>Antal cykelparkeringsplatser för småhus/radhus:</t>
  </si>
  <si>
    <t>cykelparkeringsplatser inkl platser för besökare</t>
  </si>
  <si>
    <t>cykelparkeringsplatser exkl platser för besökare</t>
  </si>
  <si>
    <t>cykelparkeringsplatser, anställda + besökare</t>
  </si>
  <si>
    <t>Grundskola, antal kvm BTA</t>
  </si>
  <si>
    <t>Gymnasieskola, antal kvm BTA:</t>
  </si>
  <si>
    <t>Kontor, antal cykelplatser inkl besökare:</t>
  </si>
  <si>
    <t>Kontor, antal cykelplatser exkl besökare:</t>
  </si>
  <si>
    <t>Industri och hantverk, antal cykelplatser inkl besökare:</t>
  </si>
  <si>
    <t>Industri och hantverk, antal cykelplatser exkl besökare:</t>
  </si>
  <si>
    <t>Dagligvarubutik, antal cykelplatser:</t>
  </si>
  <si>
    <t>Sällanköpsbutik, antal cykelplatser:</t>
  </si>
  <si>
    <t>Gymnasieskola, antal cykelplatser anställda:</t>
  </si>
  <si>
    <t>Gymnasieskola, antal cykelplatser elever:</t>
  </si>
  <si>
    <t>Grundskola, antal cykelplatser anställda:</t>
  </si>
  <si>
    <t>Grundskola, antal cykelplatser elever:</t>
  </si>
  <si>
    <t>Förskola, antal cykelplatser anställda:</t>
  </si>
  <si>
    <t>Förskola, antal cykelplatser barn/föräldrar:</t>
  </si>
  <si>
    <t>cykelparkeringsplatser, anställda</t>
  </si>
  <si>
    <t>cykelparkeringsplatser, elever</t>
  </si>
  <si>
    <t>cykelparkeringsplatser, barn+föräldrar</t>
  </si>
  <si>
    <t>Denna tabell är en underlagstabell som innehåller parkeringstalen för bil i Västerås. Den får inte ändras.</t>
  </si>
  <si>
    <t>Denna tabell är en underlagstabell som innehåller parkeringstalen för cykel i Västerås. Den får inte ändras.</t>
  </si>
  <si>
    <t>Orange fält = Får fyllas i och ändras</t>
  </si>
  <si>
    <t>Grått fält = Innehåller formler, får inte ändras</t>
  </si>
  <si>
    <t>Studentbostäder:</t>
  </si>
  <si>
    <t>Småhus/radhus:</t>
  </si>
  <si>
    <t>Antal bilparkeringsplatser för bostäder baserat på BTA:</t>
  </si>
  <si>
    <t>bilparkeringsplatser inkl platser för besökare</t>
  </si>
  <si>
    <t>bilparkeringsplatser exkl platser för besökare</t>
  </si>
  <si>
    <t>Antal bilparkeringsplatser för bostäder baserat på antalet lägenheter med känd fördelning:</t>
  </si>
  <si>
    <t>Kontor, antal bilplatser inkl besökare:</t>
  </si>
  <si>
    <t>Kontor, antal bilplatser exkl besökare:</t>
  </si>
  <si>
    <t>Industri och hantverk, antal bilplatser inkl besökare:</t>
  </si>
  <si>
    <t>Industri och hantverk, antal bilplatser exkl besökare:</t>
  </si>
  <si>
    <t>Grundskola, antal bilplatser anställda:</t>
  </si>
  <si>
    <t>Gymnasieskola, antal bilplatser anställda:</t>
  </si>
  <si>
    <t>Förskola, antal bilplatser anställda:</t>
  </si>
  <si>
    <t>Bilplatser för verksamheter:</t>
  </si>
  <si>
    <t>Antal cykelparkeringsplatser för bostäder baserat på antalet lägenheter oavsett storlek:</t>
  </si>
  <si>
    <t>Antal bilparkeringsplatser för bostäder baserat på antalet lägenheter oavsett storlek:</t>
  </si>
  <si>
    <t>Antal bilparkeringsplatser för studentbostäder baserat på BTA:</t>
  </si>
  <si>
    <t>Antal bilparkeringsplatser för studentbostäder baserat på antalet studentlägenheter:</t>
  </si>
  <si>
    <t>Antal bilparkeringsplatser för studentbostäder baserat på antalet studentrum i korridor:</t>
  </si>
  <si>
    <t>Antal bilparkeringsplatser för småhus/radhus med bilparkering på tomten:</t>
  </si>
  <si>
    <t>Antal bilparkeringsplatser för småhus/radhus med gemensam bilparkering:</t>
  </si>
  <si>
    <t>Dagligvarubutik, antal bilplatser anställda:</t>
  </si>
  <si>
    <t>Dagligvarubutik, antal bilplatser besökare:</t>
  </si>
  <si>
    <t>Sällanköpsbutik, antal bilplatser anställda:</t>
  </si>
  <si>
    <t>Sällanköpsbutik, antal bilplatser besökare:</t>
  </si>
  <si>
    <t>bilparkeringsplatser för anställda</t>
  </si>
  <si>
    <t>bilparkeringsplatser för besökare</t>
  </si>
  <si>
    <t>Introduktion</t>
  </si>
  <si>
    <t>Här ska alla kända fakta om exploateringen fyllas i.</t>
  </si>
  <si>
    <t xml:space="preserve">Förutsättningar </t>
  </si>
  <si>
    <t>Cykel</t>
  </si>
  <si>
    <t>Bil grundtal</t>
  </si>
  <si>
    <t>Red bilpool</t>
  </si>
  <si>
    <t>Red MM</t>
  </si>
  <si>
    <t>Här beräknas  bilparkeringsbehovet för bostäder och verksamheter. Grundtalen används om byggherren/fastighetsägaren inte vill tillämpa flexibla parkeringstal.</t>
  </si>
  <si>
    <t>Här beräknas cykelparkeringsbehovet för bostäder och verksamheter. Mängden cykelparkeringsplatser omfattas inte av de flexibla parkeringstalen och kan därmed inte reduceras.</t>
  </si>
  <si>
    <t>Ptal bil</t>
  </si>
  <si>
    <t>Ptal cykel</t>
  </si>
  <si>
    <t>Tabell med gällande parkeringstal för bil i Västerås. Får inte ändras.</t>
  </si>
  <si>
    <t>Tabell med gällande parkeringstal för cykel i Västerås. Får inte ändras.</t>
  </si>
  <si>
    <t>Ange förutsättningarna för exploateringen</t>
  </si>
  <si>
    <t>Cykelparkeringstal</t>
  </si>
  <si>
    <t>Grundtal för bilparkering</t>
  </si>
  <si>
    <t>Reduktion för bilpool</t>
  </si>
  <si>
    <t>dessutom tillkommer</t>
  </si>
  <si>
    <t>Antalet bilparkeringsplatser för bostäder reduceras till:</t>
  </si>
  <si>
    <t>Antalet bilparkeringsplatser för besökare:</t>
  </si>
  <si>
    <t>Antalet bilparkeringsplatser för bostäder baserat på antalet lägenheter reduceras till:</t>
  </si>
  <si>
    <t>Antal bilparkeringsplatser för bostäder baserat på antalet lägenheter med känd fördelning reduceras till:</t>
  </si>
  <si>
    <t>Kontor, antalet bilplatser för anställda reduceras till:</t>
  </si>
  <si>
    <t>Industri och hantverk, antalet bilplatser för anställda reduceras till:</t>
  </si>
  <si>
    <t>Dagligvarubutik, antal bilplatser för anställda reduceras till:</t>
  </si>
  <si>
    <t>Sällanköpsbutik, antal bilplatser för anställda reduceras till:</t>
  </si>
  <si>
    <t>Grundskola, antal bilplatser för anställda reduceras till:</t>
  </si>
  <si>
    <t>Gymnasieskola, antal bilplatser för anställda reduceras till:</t>
  </si>
  <si>
    <t>Förskola, antal bilplatser för anställda reduceras till:</t>
  </si>
  <si>
    <t>+</t>
  </si>
  <si>
    <t>varav</t>
  </si>
  <si>
    <t>dessutom</t>
  </si>
  <si>
    <t>Resultat efter reduktion för bilpool:</t>
  </si>
  <si>
    <t>Antal bilparkeringsplatser för småhus/radhus med gemensam bilparkering reduceras till:</t>
  </si>
  <si>
    <t>Bostäder i flerbostadshus:</t>
  </si>
  <si>
    <t>Antal cykelparkeringsplatser för bostäder i flerbostadshus baserat på BTA:</t>
  </si>
  <si>
    <t>Cykelplatser för bostäder i flerbostadshus:</t>
  </si>
  <si>
    <t>Cykelplatser för studentbostäder:</t>
  </si>
  <si>
    <t>Cykelplatser för småhus/radhus:</t>
  </si>
  <si>
    <t>Bilplatser för studentbostäder:</t>
  </si>
  <si>
    <t>Bilplatser för småhus/radhus:</t>
  </si>
  <si>
    <t>Bilplatser för bostäder i flerbostadshus:</t>
  </si>
  <si>
    <t>bilparkeringsplatser</t>
  </si>
  <si>
    <t>Totalt antal bilparkeringsplatser för verksamheter:</t>
  </si>
  <si>
    <t>platser</t>
  </si>
  <si>
    <t>platser för anställda</t>
  </si>
  <si>
    <t>dessutom tillkommer oreducerat</t>
  </si>
  <si>
    <t>platser för besökare (oreducerat)</t>
  </si>
  <si>
    <t>För det angivna antalet lägenheter med 1 rum och kök:</t>
  </si>
  <si>
    <t>För det angivna antalet lägenheter med 2 rum och kök:</t>
  </si>
  <si>
    <t>För det angivna antalet lägenheter med 3 rum och kök:</t>
  </si>
  <si>
    <t>För det angivna antalet lägenheter med 4 rum och kök:</t>
  </si>
  <si>
    <t>Antal insparade parkeringsplatser:</t>
  </si>
  <si>
    <t>Grundtalet gav</t>
  </si>
  <si>
    <t>parkeringsplatser sparats in</t>
  </si>
  <si>
    <t>parkeringsplatser för boende i flerbostadshus</t>
  </si>
  <si>
    <t>parkeringsplatser för boende småhus/radhus med gemensam parkering</t>
  </si>
  <si>
    <t>parkeringsplatser för anställda i verksamheter</t>
  </si>
  <si>
    <t>Beräkning av reduktion för bilplatser för bostäder:</t>
  </si>
  <si>
    <t>Beräkning av reduktion för bilplatser för verksamheter:</t>
  </si>
  <si>
    <t>bilparkeringsplatser för besökare (oreducerat)</t>
  </si>
  <si>
    <t>Reduktion för Mobility Management-åtgärder (MM)</t>
  </si>
  <si>
    <t>Vilken reduktion ska användas för bostäder?</t>
  </si>
  <si>
    <t>Vilken reduktion ska användas för verksamheter?</t>
  </si>
  <si>
    <t>Lokaltyp</t>
  </si>
  <si>
    <t>Natt</t>
  </si>
  <si>
    <t>Bostäder</t>
  </si>
  <si>
    <t xml:space="preserve">Boendebesökare </t>
  </si>
  <si>
    <t>Industrier</t>
  </si>
  <si>
    <t>Kontor</t>
  </si>
  <si>
    <t>Butiker</t>
  </si>
  <si>
    <t>Skolor</t>
  </si>
  <si>
    <t>Hotell</t>
  </si>
  <si>
    <t>Restauranger</t>
  </si>
  <si>
    <t xml:space="preserve">Vardag kl 10-16 </t>
  </si>
  <si>
    <t>Fredag kl 16-19</t>
  </si>
  <si>
    <t xml:space="preserve">Lördag kl 10-13 </t>
  </si>
  <si>
    <t>Beräkning av samnyttjande</t>
  </si>
  <si>
    <t>Hotell, antal kvm BTA:</t>
  </si>
  <si>
    <t>Lunchbar, antal kvm BTA:</t>
  </si>
  <si>
    <t>Restaurang, antal kvm BTA:</t>
  </si>
  <si>
    <t>Hotell, antal cykelplatser:</t>
  </si>
  <si>
    <t>Lunchbar, antal cykelplatser:</t>
  </si>
  <si>
    <t>Restaurang, antal cykelplatser:</t>
  </si>
  <si>
    <t>Hotell, antal bilplatser inkl besökare:</t>
  </si>
  <si>
    <t>Lunchbar, antal bilplatser inkl besökare:</t>
  </si>
  <si>
    <t>Restaurang, antal bilplatser inkl besökare:</t>
  </si>
  <si>
    <t>Hotell, antal bilplatser (oreducerat)</t>
  </si>
  <si>
    <t>Lunchbar, antal bilplatser (oreducerat)</t>
  </si>
  <si>
    <t>Restaurang, antal bilplatser (oreducerat)</t>
  </si>
  <si>
    <t>Summa</t>
  </si>
  <si>
    <t>Den högsta beläggningen nås under</t>
  </si>
  <si>
    <t>parkeringsplatser</t>
  </si>
  <si>
    <t>Underlagstabell för samnyttjande</t>
  </si>
  <si>
    <t>Parkeringsbehovet vid samnyttjande av samtliga parkeringsplatser uppgår till</t>
  </si>
  <si>
    <t>(Så här stor andel av platserna är typiskt sett upptagna under de olika tidsintervallen)</t>
  </si>
  <si>
    <t>Reduktion för samnyttjande, ALLA platser ordnas på egen fastighet och kan därmed samnyttjas</t>
  </si>
  <si>
    <t>Reduktion för samnyttjande, EN DEL av platserna ordnas på egen fastighet och kan samnyttjas</t>
  </si>
  <si>
    <t>bilplatser varav</t>
  </si>
  <si>
    <t>platser för besökare till boende i flerbostadshus</t>
  </si>
  <si>
    <t>Hur många av dessa platser ska samnyttjas?</t>
  </si>
  <si>
    <t>platser ska lösas genom parkeringsköp</t>
  </si>
  <si>
    <t>platser ska ordnas på den egna fastigheten och samnyttjas. Det innebär att</t>
  </si>
  <si>
    <r>
      <t xml:space="preserve">Den totala parkeringsefterfrågan för </t>
    </r>
    <r>
      <rPr>
        <b/>
        <sz val="11"/>
        <color theme="1"/>
        <rFont val="Calibri"/>
        <family val="2"/>
        <scheme val="minor"/>
      </rPr>
      <t>bostäder</t>
    </r>
    <r>
      <rPr>
        <sz val="11"/>
        <color theme="1"/>
        <rFont val="Calibri"/>
        <family val="2"/>
        <scheme val="minor"/>
      </rPr>
      <t xml:space="preserve"> är:</t>
    </r>
  </si>
  <si>
    <r>
      <t xml:space="preserve">Den totala parkeringsefterfrågan för </t>
    </r>
    <r>
      <rPr>
        <b/>
        <sz val="11"/>
        <color theme="1"/>
        <rFont val="Calibri"/>
        <family val="2"/>
        <scheme val="minor"/>
      </rPr>
      <t>boendebesökare</t>
    </r>
    <r>
      <rPr>
        <sz val="11"/>
        <color theme="1"/>
        <rFont val="Calibri"/>
        <family val="2"/>
        <scheme val="minor"/>
      </rPr>
      <t xml:space="preserve"> är:</t>
    </r>
  </si>
  <si>
    <t>bilplatser</t>
  </si>
  <si>
    <r>
      <t xml:space="preserve">Den totala parkeringsefterfrågan för </t>
    </r>
    <r>
      <rPr>
        <b/>
        <sz val="11"/>
        <color theme="1"/>
        <rFont val="Calibri"/>
        <family val="2"/>
        <scheme val="minor"/>
      </rPr>
      <t>industri/hantverk</t>
    </r>
    <r>
      <rPr>
        <sz val="11"/>
        <color theme="1"/>
        <rFont val="Calibri"/>
        <family val="2"/>
        <scheme val="minor"/>
      </rPr>
      <t xml:space="preserve"> är:</t>
    </r>
  </si>
  <si>
    <r>
      <t xml:space="preserve">Den totala parkeringsefterfrågan för </t>
    </r>
    <r>
      <rPr>
        <b/>
        <sz val="11"/>
        <color theme="1"/>
        <rFont val="Calibri"/>
        <family val="2"/>
        <scheme val="minor"/>
      </rPr>
      <t xml:space="preserve">kontor </t>
    </r>
    <r>
      <rPr>
        <sz val="11"/>
        <color theme="1"/>
        <rFont val="Calibri"/>
        <family val="2"/>
        <scheme val="minor"/>
      </rPr>
      <t>är:</t>
    </r>
  </si>
  <si>
    <r>
      <t xml:space="preserve">Den totala parkeringsefterfrågan för </t>
    </r>
    <r>
      <rPr>
        <b/>
        <sz val="11"/>
        <color theme="1"/>
        <rFont val="Calibri"/>
        <family val="2"/>
        <scheme val="minor"/>
      </rPr>
      <t xml:space="preserve">butiker/handel </t>
    </r>
    <r>
      <rPr>
        <sz val="11"/>
        <color theme="1"/>
        <rFont val="Calibri"/>
        <family val="2"/>
        <scheme val="minor"/>
      </rPr>
      <t>är:</t>
    </r>
  </si>
  <si>
    <r>
      <t xml:space="preserve">Den totala parkeringsefterfrågan för </t>
    </r>
    <r>
      <rPr>
        <b/>
        <sz val="11"/>
        <color theme="1"/>
        <rFont val="Calibri"/>
        <family val="2"/>
        <scheme val="minor"/>
      </rPr>
      <t xml:space="preserve">skolor </t>
    </r>
    <r>
      <rPr>
        <sz val="11"/>
        <color theme="1"/>
        <rFont val="Calibri"/>
        <family val="2"/>
        <scheme val="minor"/>
      </rPr>
      <t>är:</t>
    </r>
  </si>
  <si>
    <r>
      <t xml:space="preserve">Den totala parkeringsefterfrågan för </t>
    </r>
    <r>
      <rPr>
        <b/>
        <sz val="11"/>
        <color theme="1"/>
        <rFont val="Calibri"/>
        <family val="2"/>
        <scheme val="minor"/>
      </rPr>
      <t xml:space="preserve">hotell </t>
    </r>
    <r>
      <rPr>
        <sz val="11"/>
        <color theme="1"/>
        <rFont val="Calibri"/>
        <family val="2"/>
        <scheme val="minor"/>
      </rPr>
      <t>är:</t>
    </r>
  </si>
  <si>
    <r>
      <t xml:space="preserve">Den totala parkeringsefterfrågan för </t>
    </r>
    <r>
      <rPr>
        <b/>
        <sz val="11"/>
        <color theme="1"/>
        <rFont val="Calibri"/>
        <family val="2"/>
        <scheme val="minor"/>
      </rPr>
      <t xml:space="preserve">restauranger </t>
    </r>
    <r>
      <rPr>
        <sz val="11"/>
        <color theme="1"/>
        <rFont val="Calibri"/>
        <family val="2"/>
        <scheme val="minor"/>
      </rPr>
      <t>är:</t>
    </r>
  </si>
  <si>
    <t>Parkeringsbehovet för de platser som samnyttjas uppgår till:</t>
  </si>
  <si>
    <t>Dessutom görs parkeringsköp för resterande:</t>
  </si>
  <si>
    <t>parkeringsplatser som ska lösas på den egna fastigheten</t>
  </si>
  <si>
    <t>Gör så här:</t>
  </si>
  <si>
    <t>Bostäder i småhus/radhus med gemensam parkering:</t>
  </si>
  <si>
    <t>Bostäder i småhus/radhus med parkering på tomten:</t>
  </si>
  <si>
    <t>platser för småhus/radhus med parkering på tomten</t>
  </si>
  <si>
    <t>platser för boende i flerbostadshus,</t>
  </si>
  <si>
    <t>platser för studentbostäder</t>
  </si>
  <si>
    <t>platser för boende i småhus/radhus med gemensam parkering samt</t>
  </si>
  <si>
    <t xml:space="preserve">Totalt har </t>
  </si>
  <si>
    <t>Därtill kommer platser som inte kan samnyttjas:</t>
  </si>
  <si>
    <t>Genom samnyttjande av samtliga platser kan</t>
  </si>
  <si>
    <t>parkeringsplatser sparas in</t>
  </si>
  <si>
    <t>Totalt antal cykelparkeringsplatser:</t>
  </si>
  <si>
    <t>Vilken reduktion ska användas för bostäder (ange procentsats)?</t>
  </si>
  <si>
    <t>Antal lägenheter 4 rum och kök eller mer:</t>
  </si>
  <si>
    <t>(Med lunchbar jämställs café)</t>
  </si>
  <si>
    <t>I och med bilpoolsreduktionen har totalt:</t>
  </si>
  <si>
    <t>bilparkeringsplatser för verksamheter</t>
  </si>
  <si>
    <t>bilparkeringsplatser för bostäder</t>
  </si>
  <si>
    <t>att användas</t>
  </si>
  <si>
    <t>Checklista för planering av parkeringar</t>
  </si>
  <si>
    <t>Cykelparkering - utbud</t>
  </si>
  <si>
    <t>Bilparkering - utbud</t>
  </si>
  <si>
    <t>Bilparkering - utformning och lokalisering</t>
  </si>
  <si>
    <t>Bilparkering - reduktion (flexibla parkeringstal)</t>
  </si>
  <si>
    <t>Reduktion för Mobility Management- (MM-)åtgärder</t>
  </si>
  <si>
    <t>Resultat efter reduktion för MM-åtgärder:</t>
  </si>
  <si>
    <t>Reduktion för samnyttjande</t>
  </si>
  <si>
    <t>bilplatser sparas in</t>
  </si>
  <si>
    <t>För den här exploateringen behövs</t>
  </si>
  <si>
    <t>Resultat av parkeringsberäkningar</t>
  </si>
  <si>
    <t>Parkeringsefterfrågan för cykel</t>
  </si>
  <si>
    <t>Parkeringsefterfrågan för bil - grundtal</t>
  </si>
  <si>
    <t>Parkeringsefterfrågan för bil - med reduktion för bilpool</t>
  </si>
  <si>
    <t>Parkeringsefterfrågan för bil - med reduktion för Mobility Management-åtgärder</t>
  </si>
  <si>
    <t>bilparkeringsplatser vid fullt samnyttjande av samtliga platser</t>
  </si>
  <si>
    <t>bilparkeringsplatser ingår i de platser som tillåts reduceras</t>
  </si>
  <si>
    <t>Antal kvadratmeter (BTA) studentbostäder*:</t>
  </si>
  <si>
    <t>*Ytan för studentbostäder måste anges för att få fram behovet av cykelparkeringar, det räcker inte med antalet rum.</t>
  </si>
  <si>
    <t>Här differentieras inte antalet cykelparkeringsplatser för anställda och besökare!</t>
  </si>
  <si>
    <t>Förutom dessa ska</t>
  </si>
  <si>
    <t>I och med bilpoolsreduktionen ska ytterligare</t>
  </si>
  <si>
    <t>parkeringsplatser för bilpoolsbilar läggas till beräknat antal parkeringsplatser</t>
  </si>
  <si>
    <t>platser som reserveras för bilpoolsbilar (summan hämtas från fliken för bilpoolsreduktion, reduceras ej ytterligare)</t>
  </si>
  <si>
    <t>ytterligare platser som reserveras för bilpoolsbilar</t>
  </si>
  <si>
    <t xml:space="preserve">Utöver dessa tillkommer </t>
  </si>
  <si>
    <t>parkeringsplatser för bilpool</t>
  </si>
  <si>
    <r>
      <t>Parkeringsefterfrågan</t>
    </r>
    <r>
      <rPr>
        <i/>
        <sz val="11"/>
        <color theme="1"/>
        <rFont val="Calibri"/>
        <family val="2"/>
        <scheme val="minor"/>
      </rPr>
      <t xml:space="preserve"> inklusive</t>
    </r>
    <r>
      <rPr>
        <sz val="11"/>
        <color theme="1"/>
        <rFont val="Calibri"/>
        <family val="2"/>
        <scheme val="minor"/>
      </rPr>
      <t xml:space="preserve"> besöksparkering och utan reduktioner uppgår till:</t>
    </r>
  </si>
  <si>
    <r>
      <t xml:space="preserve">Parkeringsefterfrågan </t>
    </r>
    <r>
      <rPr>
        <i/>
        <sz val="11"/>
        <color theme="1"/>
        <rFont val="Calibri"/>
        <family val="2"/>
        <scheme val="minor"/>
      </rPr>
      <t>exklusive</t>
    </r>
    <r>
      <rPr>
        <sz val="11"/>
        <color theme="1"/>
        <rFont val="Calibri"/>
        <family val="2"/>
        <scheme val="minor"/>
      </rPr>
      <t xml:space="preserve"> besöksparkering och utan reduktioner uppgår till:</t>
    </r>
  </si>
  <si>
    <t>Totalt antal parkeringsplatser för bil som kan reduceras för bilpool:</t>
  </si>
  <si>
    <t>bilparkeringsplatser reserveras i en bilpool med attraktivt läge.</t>
  </si>
  <si>
    <t>bilparkeringsplatser är kvar efter reduktion och exkl besöksparkering</t>
  </si>
  <si>
    <t>parkeringsplatser sparats in i detta steg</t>
  </si>
  <si>
    <t>parkeringsplatser sparats in genom MM-åtgärder</t>
  </si>
  <si>
    <t>För den här exploateringen behöver</t>
  </si>
  <si>
    <t>bilparkeringsplatser reserveras i en bilpool med attraktivt läge. Dessa platser kan inte samnyttjas.</t>
  </si>
  <si>
    <t>Andel bilplatser avsatta för rörelsenedsatta (minst 5%):</t>
  </si>
  <si>
    <t>Red samnyttjande ALLA</t>
  </si>
  <si>
    <t>Här beräknas reduktion för samnyttjande om alla parkeringsplatser samnyttjas. Steget får användas om byggherren/fastighetsägaren löser parkeringen på egen fastighet.</t>
  </si>
  <si>
    <t>Red samnyttjande DELVIS</t>
  </si>
  <si>
    <t>Här beräknas reduktion för samnyttjande om en delmängd av parkeringsplatserna samnyttjas. Steget får användas om byggherren/fastighetsägaren löser parkeringen på egen fastighet.</t>
  </si>
  <si>
    <t>Resultat</t>
  </si>
  <si>
    <t>Här visas resultaten från beräkningarna. Fliken läses av för de avdrag som byggherren/fastighetsägaren har rätt till.</t>
  </si>
  <si>
    <t xml:space="preserve">Cykelparkering - utformning </t>
  </si>
  <si>
    <t>Utgångspunkter:</t>
  </si>
  <si>
    <t>st bilparkeringsplatser avsättas för personer med rörelsenedsättning i bostäder inkl besöksparkering för dessa. Dessa ingår i de totala antalet parkeringsplatser ovan.</t>
  </si>
  <si>
    <r>
      <rPr>
        <b/>
        <sz val="11"/>
        <color theme="1"/>
        <rFont val="Times New Roman"/>
        <family val="1"/>
      </rPr>
      <t>Dagligvarubutiker</t>
    </r>
    <r>
      <rPr>
        <sz val="11"/>
        <color theme="1"/>
        <rFont val="Times New Roman"/>
        <family val="1"/>
      </rPr>
      <t>, bilplatser per 1000 kvm BTA, anställda*</t>
    </r>
  </si>
  <si>
    <r>
      <t>Dagligvarubutiker</t>
    </r>
    <r>
      <rPr>
        <sz val="11"/>
        <color theme="1"/>
        <rFont val="Times New Roman"/>
        <family val="1"/>
      </rPr>
      <t>, bilplatser per 1000 kvm BTA, besökare*</t>
    </r>
  </si>
  <si>
    <r>
      <t>Sällanköpsbutiker</t>
    </r>
    <r>
      <rPr>
        <sz val="11"/>
        <color theme="1"/>
        <rFont val="Times New Roman"/>
        <family val="1"/>
      </rPr>
      <t>, bilplatser per 1000 kvm BTA, anställda*</t>
    </r>
  </si>
  <si>
    <r>
      <rPr>
        <b/>
        <sz val="11"/>
        <color theme="1"/>
        <rFont val="Times New Roman"/>
        <family val="1"/>
      </rPr>
      <t>Sällanköpsbutiker</t>
    </r>
    <r>
      <rPr>
        <sz val="11"/>
        <color theme="1"/>
        <rFont val="Times New Roman"/>
        <family val="1"/>
      </rPr>
      <t>, bilplatser per 1000 kvm BTA, besökare*</t>
    </r>
  </si>
  <si>
    <r>
      <t>Grundskola</t>
    </r>
    <r>
      <rPr>
        <sz val="11"/>
        <color theme="1"/>
        <rFont val="Times New Roman"/>
        <family val="1"/>
      </rPr>
      <t>, cykelplatser per 1000 kvm BTA, anställda*</t>
    </r>
  </si>
  <si>
    <r>
      <t>Grundskola</t>
    </r>
    <r>
      <rPr>
        <sz val="11"/>
        <color theme="1"/>
        <rFont val="Times New Roman"/>
        <family val="1"/>
      </rPr>
      <t>, cykelplatser per 1000 kvm BTA, elever*</t>
    </r>
  </si>
  <si>
    <r>
      <t>Gymnasieskola</t>
    </r>
    <r>
      <rPr>
        <sz val="11"/>
        <color theme="1"/>
        <rFont val="Times New Roman"/>
        <family val="1"/>
      </rPr>
      <t>, cykelplatser per 1000 kvm BTA, anställda*</t>
    </r>
  </si>
  <si>
    <r>
      <t>Gymnasieskola</t>
    </r>
    <r>
      <rPr>
        <sz val="11"/>
        <color theme="1"/>
        <rFont val="Times New Roman"/>
        <family val="1"/>
      </rPr>
      <t>, cykelplatser per 1000 kvm BTA, elever*</t>
    </r>
  </si>
  <si>
    <r>
      <t>Förskola</t>
    </r>
    <r>
      <rPr>
        <sz val="11"/>
        <color theme="1"/>
        <rFont val="Times New Roman"/>
        <family val="1"/>
      </rPr>
      <t>, cykelplatser per 1000 kvm BTA, anställda*</t>
    </r>
  </si>
  <si>
    <r>
      <t>Förskola</t>
    </r>
    <r>
      <rPr>
        <sz val="11"/>
        <color theme="1"/>
        <rFont val="Times New Roman"/>
        <family val="1"/>
      </rPr>
      <t>, cykelplatser per 1000 kvm BTA, barn/föräldrar*</t>
    </r>
  </si>
  <si>
    <t>Beräkning av parkeringstal för bostäder och verksamheter i Västerås</t>
  </si>
  <si>
    <t>I fortsättningen kommer beräkningssätt nr</t>
  </si>
  <si>
    <t xml:space="preserve"> Det tillkommer</t>
  </si>
  <si>
    <t>(Max 10 % rekommenderas i riktlinjerna)</t>
  </si>
  <si>
    <t>Här beräknas reduktion för bilpool. Steget används om byggherren/fastighetsägaren gör de åtaganden som beskrivs i riktlinjerna.</t>
  </si>
  <si>
    <t>Här beräknas reduktion för Mobility Management-åtgärder. Steget används om byggherren/fastighetsägaren gör de åtaganden som beskrivs i riktlinjerna.</t>
  </si>
  <si>
    <t>Se vidare information i avsnittet "Steg 2 - Reduktion för bilpool" i riktlinjerna.</t>
  </si>
  <si>
    <t>Se vidare information i avsnittet "Steg 3 - Reduktion för övriga Mobility Management-åtgärder" i riktlinjerna.</t>
  </si>
  <si>
    <t>Instruktioner från riktlinjerna som är viktiga att ta hänsyn till vid planering av parkeringar</t>
  </si>
  <si>
    <t>Anges ej i riktlinjerna</t>
  </si>
  <si>
    <t>*Raden skiljer sig mot motsvarande rad i Bilaga 1 i riktlinjerna. I riktlinjerna är anställda och besökare sammanställda på samma rad. I denna beräkning är de skilda åt i rader efter varandra.</t>
  </si>
  <si>
    <t>*Raden skiljer sig mot motsvarande rad i Bilaga 2 i riktlinjerna. I riktlinjerna är anställda och besökare sammanställda på samma rad. I denna beräkning är de skilda åt i rader efter varandra.</t>
  </si>
  <si>
    <t>Som exempel kan nämnas att:</t>
  </si>
  <si>
    <t>• Alla cykelställ ska medge ramlåsning</t>
  </si>
  <si>
    <t>• Dygnsparkeringar vid arbetsplatser och bostäder ska ha väderskydd och belysning</t>
  </si>
  <si>
    <t>• Cykelparkeringen ska vara lokaliserad nära entrén till målpunkten och i vissa fall vara utrustad med cykelpump</t>
  </si>
  <si>
    <t>• Skötselplan och anslag om ansvarig förvaltare ska alltid finnas för varje parkering</t>
  </si>
  <si>
    <t>• Besöksparkering för cyklar ska finnas</t>
  </si>
  <si>
    <t>• Antalet cykelparkeringar som anges i parkeringstalen kan inte reduceras</t>
  </si>
  <si>
    <t>• Samtliga boende ska ha möjlighet att äga en cykel och ha den parkerad vid bostaden</t>
  </si>
  <si>
    <t>• Verksamma och besökare ska kunna parkera på acceptabelt gångavstånd från verksamheter, högst 800 meter för verksamma och högst 300 meter för besökare</t>
  </si>
  <si>
    <t>• Boende som har bil ska kunna parkera den på acceptabelt gångavstånd från bostaden, högst 500 meter</t>
  </si>
  <si>
    <t>• Behovet av parkering för tvåhjuliga motorfordon ska alltid utredas, för både bostäder och verksamheter. Dock finns inga parkeringstal för MC/moped</t>
  </si>
  <si>
    <t>• Möjligheter till angöring, lastning och lossning ska alltid finnas i närheten av entrén</t>
  </si>
  <si>
    <t>• Parkering i direkt anslutning till entrén reserveras i första hand för rörelsehindrade och bilpoolsbilar</t>
  </si>
  <si>
    <t>• För speciella typer av verksamheter, som saknar färdiga parkeringstal, ska en särskild parkeringsutredning göras</t>
  </si>
  <si>
    <t>• Det finns alltid möjlighet att göra en särskild parkeringsutredning för att sänka parkeringstalen i fall där befintliga möjligheter till reduktion inte bedöms kunna användas</t>
  </si>
  <si>
    <t>• Lokalisering av parkeringsplatsen ska specificeras i bygglovet</t>
  </si>
  <si>
    <t>• Efterfrågan på bilparkering bör tillgodoses i samlade parkeringsanläggningar</t>
  </si>
  <si>
    <t>• Konkurrenskraften för alternativa färdsätt som kollektivtrafik och cykel kan stärkas genom att gångavståndet till dessa alternativ är kortare än till bilparkeringen</t>
  </si>
  <si>
    <t>• Parkeringshus kan ofta användas som bullerskärm</t>
  </si>
  <si>
    <t>• Vid all anläggning av parkering ska särskild hänsyn tas till dagvattenfrågan. Ytor för infiltration och genomsläppliga (permeabla) ytor rekommenderas</t>
  </si>
  <si>
    <t>• Vid nyanläggning av större parkeringsanläggningar och garage bör platser för moped och MC märkas ut och förses med möjligheter till fastlåsning</t>
  </si>
  <si>
    <t>• Grunden för att få reduktion för bostäder är att man kan förvänta sig att de boende i lägre utsträckning kommer att äga bil tack vare de åtgärder som görs</t>
  </si>
  <si>
    <r>
      <t xml:space="preserve">• Reduktion kan fås inte bara vid nybyggnation, utan även vid ombyggnation eller ändrad användning. </t>
    </r>
    <r>
      <rPr>
        <b/>
        <sz val="11"/>
        <color theme="1"/>
        <rFont val="Calibri"/>
        <family val="2"/>
        <scheme val="minor"/>
      </rPr>
      <t>Se avsnittet om "Tillämpning av flexibla parkeringstal – med beräkningsexempel" i riktlinjerna</t>
    </r>
  </si>
  <si>
    <r>
      <t>• Grunden för att få reduktion för</t>
    </r>
    <r>
      <rPr>
        <b/>
        <sz val="11"/>
        <color theme="1"/>
        <rFont val="Calibri"/>
        <family val="2"/>
        <scheme val="minor"/>
      </rPr>
      <t xml:space="preserve"> </t>
    </r>
    <r>
      <rPr>
        <sz val="11"/>
        <color theme="1"/>
        <rFont val="Calibri"/>
        <family val="2"/>
        <scheme val="minor"/>
      </rPr>
      <t>verksamheter är att man kan förvänta sig att de verksamma i lägre utsträckning kommer att använda bil tack vare de åtgärder som görs</t>
    </r>
  </si>
  <si>
    <t>• Fastighetsägare som får reduktion ska redovisa en reservplan för hur parkeringssituationen ska lösas om åtagandena om bilpool och/eller MM-åtgärder inte uppfylls</t>
  </si>
  <si>
    <t>• Kravet att ordna med kompletterande parkeringsplatser utlöses tidigast efter ett år från första inflyttning</t>
  </si>
  <si>
    <t>• Antalet bilpoolsplatser som rekommenderas i riktlinjerna får inte reduceras ytterligare genom MM-åtgärder eller samnyttjande. Beräkningssnurran tar hänsyn till detta</t>
  </si>
  <si>
    <t>• Bilpoolen ska vara långsiktigt knuten till fastigheten och finansieras av fastighetsägaren under minst fem år</t>
  </si>
  <si>
    <t>• Särskilda platser med attraktivt läge ska reserveras för bilpoolsbilar, läget ska redovisas i bygglovet</t>
  </si>
  <si>
    <t>• I bygglovet ska också redovisas hur byggherren säkerställer att bilpoolen finns på plats vid inflyttning</t>
  </si>
  <si>
    <t>• Bilpoolen är första steget i reduktionen av parkeringstalen. Om ingen bilpool förbereds, kan inte reduktion för andra MM-åtgärder ges</t>
  </si>
  <si>
    <t>• Reduktionen för MM-åtgärder för bostäder kan endast ges för de boende och inte för boendebesökare. Beräkningssnurran tar hänsyn till detta</t>
  </si>
  <si>
    <t>• Reduktionen för MM-åtgärder för verksamheter kan endast ges för verksamma och inte för kunder/besökare till anläggningarna. Beräkningssnurran tar hänsyn till detta</t>
  </si>
  <si>
    <t>• En lista med förslag på MM-åtgärder finns i riktlinjerna. Egna idéer och initiativ från byggherrar välkomnas</t>
  </si>
  <si>
    <t>• MM-åtgärderna ska finnas på plats vid inflyttning och hålla full funktion över tid</t>
  </si>
  <si>
    <t>• I bygglovet ska redovisas hur byggherren tänker implementera MM-åtgärderna. Byggherren ska också visa en plan för årlig uppföljning, samt för drift och underhåll av anläggningar och inventarier</t>
  </si>
  <si>
    <r>
      <t xml:space="preserve">• För att avdrag ska medges för cykelparkering ska denna utformas med Guldnivå. </t>
    </r>
    <r>
      <rPr>
        <b/>
        <sz val="11"/>
        <color theme="1"/>
        <rFont val="Calibri"/>
        <family val="2"/>
        <scheme val="minor"/>
      </rPr>
      <t>Se vidare information i broschyren "Den perfekta cykelparkeringen"</t>
    </r>
  </si>
  <si>
    <t>• Reduktion för samnyttjande kan göras för de parkeringsplatser som fastighetsägaren avser ordna på den egna fastigheten</t>
  </si>
  <si>
    <t>• Det går att få reduktion för samnyttjande av samtliga platser (fliken "ALLA") eller för en del av platserna (fliken "DELVIS")</t>
  </si>
  <si>
    <t>• Om alla platser ska lösas genom parkeringsköp kan fastighetsägaren inte få någon reduktion för samnyttjande</t>
  </si>
  <si>
    <t>• För att få reduktion för samnyttjande förutsätts att det är flera olika typer av lokaler/funktioner som delar på platserna i en gemensam parkeringsanläggning</t>
  </si>
  <si>
    <t>• Vid samnyttjande får inga platser reserveras för särskilda registreringsnummer eller särskilda kundgrupper, undantaget platser för personer med rörelsenedsättning samt bilpoolsplatser</t>
  </si>
  <si>
    <t>• Samnyttjandet ska vara varaktigt bestående</t>
  </si>
  <si>
    <t>Se vidare information i avsnittet "Steg 4 - Reduktion för samnyttjande" i riktlinjerna.</t>
  </si>
  <si>
    <t>Följande flikar finns:</t>
  </si>
  <si>
    <t>Beskrivning av fliken:</t>
  </si>
  <si>
    <t>Detta verktyg är ett stöd för att räkna fram förväntad efterfrågan på parkering för bil och cykel vid ny-/ombyggnation av bostäder och verksamheter.</t>
  </si>
  <si>
    <t>• Vid ett åtagande om färre än fem MM-åtgärder minskas reduktionen i motsvarande grad. Exempelvis skulle ett åtagande om tre åtgärder kunna ge en reduktion på 5-6% beroende på hur "starka" åtgärderna är</t>
  </si>
  <si>
    <t>I den här fliken visas resultaten av beräkningarna. För detaljerad information, se respektive beräkningsflik.</t>
  </si>
  <si>
    <t>Om reduktioner för bilpool och MM ska tillämpas är det viktigt att kontrollera procentsatserna för reduktion (orange rutor under resp flik) så att de är rätt.</t>
  </si>
  <si>
    <t>cykelparkeringsplatser. Se detaljerad info under fliken "Cykel".</t>
  </si>
  <si>
    <t>bilparkeringsplatser för bostäder inkl besöksparkering.</t>
  </si>
  <si>
    <t>bilparkeringsplatser för verksamheter inkl besöksparkering.</t>
  </si>
  <si>
    <t>Summa antal bilparkeringsplatser för både bostäder och verksamheter.</t>
  </si>
  <si>
    <t>bilparkeringsplatser för bostäder inkl besöksparkering efter reduktion för bilpool.</t>
  </si>
  <si>
    <t>bilparkeringsplatser för verksamheter inkl besöksparkering efter reduktion för bilpool.</t>
  </si>
  <si>
    <t>parkeringsplatser sparats in, inkl avsättning till bilpool.</t>
  </si>
  <si>
    <t>bilparkeringsplatser för bostäder inkl besöksparkering efter reduktion för bilpool och MM-åtgärder.</t>
  </si>
  <si>
    <t>bilparkeringsplatser för verksamheter inkl besöksparkering efter reduktion för bilpool och MM-åtgärder.</t>
  </si>
  <si>
    <t>Jämfört med grundtalet har totalt</t>
  </si>
  <si>
    <r>
      <t xml:space="preserve">• Parkering för personer med rörelsenedsättning ska förläggas inom 25 meter från entrén och ska var </t>
    </r>
    <r>
      <rPr>
        <i/>
        <sz val="11"/>
        <color theme="1"/>
        <rFont val="Calibri"/>
        <family val="2"/>
        <scheme val="minor"/>
      </rPr>
      <t xml:space="preserve">minst </t>
    </r>
    <r>
      <rPr>
        <sz val="11"/>
        <color theme="1"/>
        <rFont val="Calibri"/>
        <family val="2"/>
        <scheme val="minor"/>
      </rPr>
      <t xml:space="preserve">5% av antalet parkeringsplatser.  För anläggningar med särskild parkeringsutredning kan en högre andel behövas. Ta hänsyn till  behov för boende, gäster, verksamma. </t>
    </r>
    <r>
      <rPr>
        <b/>
        <sz val="11"/>
        <color theme="1"/>
        <rFont val="Calibri"/>
        <family val="2"/>
        <scheme val="minor"/>
      </rPr>
      <t>Se mer i avsnittet "Bilparkering för personer med rörelsenedsättning" i riktlinjerna och Bygg Ikapp</t>
    </r>
  </si>
  <si>
    <r>
      <t xml:space="preserve">Ange i %, ska vara </t>
    </r>
    <r>
      <rPr>
        <i/>
        <sz val="11"/>
        <color theme="1"/>
        <rFont val="Calibri"/>
        <family val="2"/>
        <scheme val="minor"/>
      </rPr>
      <t>minst</t>
    </r>
    <r>
      <rPr>
        <sz val="11"/>
        <color theme="1"/>
        <rFont val="Calibri"/>
        <family val="2"/>
        <scheme val="minor"/>
      </rPr>
      <t xml:space="preserve"> 5%.  För anläggningar med 10 parkeringsplatser eller färre,</t>
    </r>
  </si>
  <si>
    <t xml:space="preserve"> ange 5%. Snurran sätter då 1 plats.</t>
  </si>
  <si>
    <t>Grönt fält = Innehåller resultatberäkning, får inte ändras</t>
  </si>
  <si>
    <t>Grönt/grått fält = Innehåller resultatberäkning, får inte ändras</t>
  </si>
  <si>
    <t>bilparkeringsplatser (ger ingen reduktion för bilpool)</t>
  </si>
  <si>
    <t>bilparkeringsplatser (ger ingen reduktion för MM-åtgärder)</t>
  </si>
  <si>
    <t>platser för besökare (ger ingen reduktion för MM-åtgärder)</t>
  </si>
  <si>
    <t>Totalt antal parkeringsplatser för bil efter reduktion för MM-åtgärder:</t>
  </si>
  <si>
    <r>
      <t xml:space="preserve"> </t>
    </r>
    <r>
      <rPr>
        <b/>
        <sz val="11"/>
        <color theme="1"/>
        <rFont val="Calibri"/>
        <family val="2"/>
        <scheme val="minor"/>
      </rPr>
      <t>Se avsnittet "Parkering för cykel" i riktlinjerna, samt broschyren "Den perfekta cykelparkeringen"</t>
    </r>
  </si>
  <si>
    <t>För avstånd till målpunkt, se särskild tabell i riktlinjerna. Som exempel kan nämnas att:</t>
  </si>
  <si>
    <r>
      <t xml:space="preserve">• Parkering för personer med rörelsenedsättning ska förläggas inom 25 meter från entrén och ska vara </t>
    </r>
    <r>
      <rPr>
        <i/>
        <sz val="11"/>
        <color theme="1"/>
        <rFont val="Calibri"/>
        <family val="2"/>
        <scheme val="minor"/>
      </rPr>
      <t xml:space="preserve">minst </t>
    </r>
    <r>
      <rPr>
        <sz val="11"/>
        <color theme="1"/>
        <rFont val="Calibri"/>
        <family val="2"/>
        <scheme val="minor"/>
      </rPr>
      <t xml:space="preserve">5% av antalet parkeringsplatser.  För anläggningar med särskild parkeringsutredning kan en högre andel behövas. Ta hänsyn till  behov för boende, gäster, verksamma. </t>
    </r>
    <r>
      <rPr>
        <b/>
        <sz val="11"/>
        <color theme="1"/>
        <rFont val="Calibri"/>
        <family val="2"/>
        <scheme val="minor"/>
      </rPr>
      <t>Se mer i avsnittet "Bilparkering för personer med rörelsenedsättning" i riktlinjerna och Bygg Ikapp</t>
    </r>
  </si>
  <si>
    <r>
      <t xml:space="preserve">• I samband med bygglov finns möjlighet för kommunen att kräva redovisning av var ytterligare parkering kan skapas om efterfrågan skulle visa sig vara högre än beräknat, den s k reservplanen, </t>
    </r>
    <r>
      <rPr>
        <b/>
        <sz val="11"/>
        <color theme="1"/>
        <rFont val="Calibri"/>
        <family val="2"/>
        <scheme val="minor"/>
      </rPr>
      <t>se vidare i avsnittet "Parkeringtal för bil och cykel i Västerås" i riktlinjerna</t>
    </r>
  </si>
  <si>
    <t>• Markparkering kan tillåtas i externa lägen där marktillgången är god. I centrala lägen byggs bilparkering i parkeringshus och garage. Gatumark kan användas för korttidsparkering, för angöring, lastning och lossning, för bilpoolsbilar samt för platser för rörelsehindrade</t>
  </si>
  <si>
    <t>• Reduktionen för bilpool för verksamheter kan endast ges för verksamma och inte för kunder/besökare till anläggningarna. Beräkningssnurran tar hänsyn till detta. Reduktionen är maximalt 20% av grundtalet</t>
  </si>
  <si>
    <t>• Reduktionen för bilpool för bostäder kan endast ges för de boende och inte för boendebesökare. Beräkningssnurran tar hänsyn till detta. Reduktionen är maximalt 20% av grundtalet</t>
  </si>
  <si>
    <t>• Medlemskapet i bilpoolen ska ingå i hyra/månadsavgift för boende och verksamheter under fem år</t>
  </si>
  <si>
    <t>• Bilpoolen ska finnas på plats och vara i drift vid inflyttning</t>
  </si>
  <si>
    <t>• Ett paket om minst fem olika MM-åtgärder ska genomföras för att få full reduktion som är 10%</t>
  </si>
  <si>
    <t>Princip för flexibla parkeringstal i Västerås:</t>
  </si>
  <si>
    <t>(max 20% rekommenderas i riktlinjerna)</t>
  </si>
  <si>
    <t>bilparkeringsplatser som är underlag för reduktion för bilpool och MM</t>
  </si>
  <si>
    <t>Med reduktion för bilpool har</t>
  </si>
  <si>
    <t>Med reduktion för MM-åtgärder för boende har</t>
  </si>
  <si>
    <t>Med reduktion för bilpool och MM-åtgärder har totalt</t>
  </si>
  <si>
    <t>Med reduktion för MM-åtgärder för verksamma har</t>
  </si>
  <si>
    <t>parkeringsplatser sparats in genom bilpool och MM-åtgärder</t>
  </si>
  <si>
    <t>OBS! Vid delvis samnyttjande måste information fyllas i och läsas av under fliken "Red samnyttjande DELVIS".</t>
  </si>
  <si>
    <t>Parkeringsefterfrågan för bil - med reduktion för samnyttjande av samtliga bilparkeringsplatser</t>
  </si>
  <si>
    <t>Genom delvis samnyttjande kan</t>
  </si>
  <si>
    <t>Totalt antal parkeringsplatser är:</t>
  </si>
  <si>
    <t>Nya P-tal för zon 2 och 4 enligt beslut i kommunfullmäktige 2021-11-11</t>
  </si>
  <si>
    <t>Siffror i fet stil beslutade av kommunfullmäktige. Resterande siffror beräknade utifrån samma procentuella höjning.</t>
  </si>
  <si>
    <t>Höjning zon 2</t>
  </si>
  <si>
    <t>Höjning zon 4</t>
  </si>
  <si>
    <t>Nya P-tal, efter höjning</t>
  </si>
  <si>
    <t>Gamla P-tal, före höjning</t>
  </si>
  <si>
    <t>Version 2.0 2021-11-11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</si>
</sst>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rgb="FF3F3F76"/>
      <name val="Calibri"/>
      <family val="2"/>
      <scheme val="minor"/>
    </font>
    <font>
      <b/>
      <sz val="11"/>
      <color rgb="FF3F3F3F"/>
      <name val="Calibri"/>
      <family val="2"/>
      <scheme val="minor"/>
    </font>
    <font>
      <sz val="11"/>
      <color theme="1"/>
      <name val="Times New Roman"/>
      <family val="1"/>
    </font>
    <font>
      <b/>
      <sz val="11"/>
      <color theme="1"/>
      <name val="Times New Roman"/>
      <family val="1"/>
    </font>
    <font>
      <b/>
      <sz val="14"/>
      <color rgb="FFFFFFFF"/>
      <name val="Times New Roman"/>
      <family val="1"/>
    </font>
    <font>
      <i/>
      <sz val="10"/>
      <color theme="1"/>
      <name val="Times New Roman"/>
      <family val="1"/>
    </font>
    <font>
      <sz val="18"/>
      <color theme="1"/>
      <name val="Cambria"/>
      <family val="1"/>
      <scheme val="major"/>
    </font>
    <font>
      <b/>
      <sz val="14"/>
      <color theme="1"/>
      <name val="Cambria"/>
      <family val="1"/>
      <scheme val="major"/>
    </font>
    <font>
      <i/>
      <sz val="11"/>
      <color theme="1"/>
      <name val="Calibri"/>
      <family val="2"/>
      <scheme val="minor"/>
    </font>
    <font>
      <i/>
      <sz val="11"/>
      <color rgb="FF3F3F3F"/>
      <name val="Calibri"/>
      <family val="2"/>
      <scheme val="minor"/>
    </font>
    <font>
      <b/>
      <sz val="12"/>
      <color rgb="FFFF0000"/>
      <name val="Calibri"/>
      <family val="2"/>
      <scheme val="minor"/>
    </font>
    <font>
      <b/>
      <sz val="11"/>
      <color theme="1"/>
      <name val="Calibri"/>
      <family val="2"/>
      <scheme val="minor"/>
    </font>
    <font>
      <sz val="11"/>
      <color theme="1"/>
      <name val="Calibri"/>
      <family val="2"/>
      <scheme val="minor"/>
    </font>
    <font>
      <b/>
      <sz val="16"/>
      <color theme="1"/>
      <name val="Cambria"/>
      <family val="1"/>
      <scheme val="major"/>
    </font>
    <font>
      <sz val="11"/>
      <color rgb="FF000000"/>
      <name val="Calibri"/>
      <family val="2"/>
      <scheme val="minor"/>
    </font>
    <font>
      <sz val="14"/>
      <color theme="1"/>
      <name val="Cambria"/>
      <family val="1"/>
      <scheme val="major"/>
    </font>
    <font>
      <sz val="11"/>
      <name val="Calibri"/>
      <family val="2"/>
      <scheme val="minor"/>
    </font>
    <font>
      <b/>
      <u/>
      <sz val="11"/>
      <color rgb="FF00B050"/>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4F81BD"/>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bottom/>
      <diagonal/>
    </border>
    <border>
      <left/>
      <right style="medium">
        <color rgb="FF4F81BD"/>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rgb="FF4F81BD"/>
      </top>
      <bottom style="medium">
        <color rgb="FF4F81BD"/>
      </bottom>
      <diagonal/>
    </border>
    <border>
      <left/>
      <right style="thin">
        <color indexed="64"/>
      </right>
      <top style="medium">
        <color rgb="FF4F81BD"/>
      </top>
      <bottom style="medium">
        <color rgb="FF4F81BD"/>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0" fontId="1" fillId="2" borderId="1" applyNumberFormat="0" applyAlignment="0" applyProtection="0"/>
    <xf numFmtId="0" fontId="2" fillId="3" borderId="2" applyNumberFormat="0" applyAlignment="0" applyProtection="0"/>
    <xf numFmtId="9" fontId="13" fillId="0" borderId="0" applyFont="0" applyFill="0" applyBorder="0" applyAlignment="0" applyProtection="0"/>
    <xf numFmtId="0" fontId="1" fillId="2" borderId="1" applyProtection="0"/>
    <xf numFmtId="0" fontId="1" fillId="2" borderId="1" applyProtection="0"/>
    <xf numFmtId="0" fontId="1" fillId="2" borderId="1" applyProtection="0"/>
    <xf numFmtId="0" fontId="1" fillId="2" borderId="1" applyFont="0" applyFill="0" applyBorder="0" applyProtection="0"/>
  </cellStyleXfs>
  <cellXfs count="100">
    <xf numFmtId="0" fontId="0" fillId="0" borderId="0" xfId="0"/>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0" fontId="4"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9"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1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0" xfId="0" applyFont="1"/>
    <xf numFmtId="0" fontId="8" fillId="0" borderId="0" xfId="0" applyFont="1"/>
    <xf numFmtId="0" fontId="1" fillId="2" borderId="1" xfId="1"/>
    <xf numFmtId="0" fontId="9" fillId="0" borderId="0" xfId="0" applyFont="1"/>
    <xf numFmtId="0" fontId="2" fillId="3" borderId="2" xfId="2"/>
    <xf numFmtId="0" fontId="0" fillId="0" borderId="0" xfId="0" applyAlignment="1">
      <alignment wrapText="1"/>
    </xf>
    <xf numFmtId="0" fontId="10" fillId="3" borderId="2" xfId="2" applyFont="1"/>
    <xf numFmtId="0" fontId="11" fillId="0" borderId="0" xfId="0" applyFont="1"/>
    <xf numFmtId="0" fontId="12" fillId="0" borderId="0" xfId="0" applyFont="1" applyAlignment="1">
      <alignment horizontal="right"/>
    </xf>
    <xf numFmtId="0" fontId="14" fillId="0" borderId="0" xfId="0" applyFont="1"/>
    <xf numFmtId="0" fontId="12" fillId="0" borderId="0" xfId="0" applyFont="1"/>
    <xf numFmtId="0" fontId="2" fillId="3" borderId="2" xfId="2" applyNumberFormat="1"/>
    <xf numFmtId="0" fontId="12" fillId="0" borderId="0" xfId="0" applyNumberFormat="1" applyFont="1" applyAlignment="1">
      <alignment wrapText="1"/>
    </xf>
    <xf numFmtId="164" fontId="0" fillId="0" borderId="0" xfId="0" applyNumberFormat="1"/>
    <xf numFmtId="1" fontId="2" fillId="3" borderId="2" xfId="2" applyNumberFormat="1"/>
    <xf numFmtId="0" fontId="0" fillId="0" borderId="0" xfId="0" applyFont="1"/>
    <xf numFmtId="0" fontId="0" fillId="0" borderId="0" xfId="0" applyFill="1"/>
    <xf numFmtId="164" fontId="12" fillId="0" borderId="0" xfId="0" applyNumberFormat="1" applyFont="1"/>
    <xf numFmtId="9" fontId="0" fillId="0" borderId="0" xfId="3" applyFont="1"/>
    <xf numFmtId="0" fontId="12" fillId="0" borderId="0" xfId="0" applyFont="1" applyFill="1"/>
    <xf numFmtId="0" fontId="0" fillId="0" borderId="0" xfId="0" applyFont="1" applyFill="1" applyBorder="1"/>
    <xf numFmtId="0" fontId="0" fillId="0" borderId="0" xfId="0" applyBorder="1"/>
    <xf numFmtId="0" fontId="0" fillId="0" borderId="0" xfId="0" applyFill="1" applyBorder="1"/>
    <xf numFmtId="0" fontId="3" fillId="0" borderId="9" xfId="0" applyFont="1" applyFill="1" applyBorder="1" applyAlignment="1">
      <alignment vertical="center" wrapText="1"/>
    </xf>
    <xf numFmtId="0" fontId="1" fillId="2" borderId="1" xfId="1" applyProtection="1">
      <protection locked="0"/>
    </xf>
    <xf numFmtId="9" fontId="1" fillId="2" borderId="1" xfId="3" applyFont="1" applyFill="1" applyBorder="1" applyProtection="1">
      <protection locked="0"/>
    </xf>
    <xf numFmtId="0" fontId="0" fillId="0" borderId="0" xfId="0" applyProtection="1">
      <protection locked="0"/>
    </xf>
    <xf numFmtId="0" fontId="0" fillId="0" borderId="0" xfId="0" applyProtection="1"/>
    <xf numFmtId="0" fontId="7" fillId="0" borderId="0" xfId="0" applyFont="1" applyProtection="1"/>
    <xf numFmtId="0" fontId="1" fillId="2" borderId="1" xfId="1" applyProtection="1"/>
    <xf numFmtId="0" fontId="2" fillId="3" borderId="2" xfId="2" applyProtection="1"/>
    <xf numFmtId="0" fontId="8" fillId="0" borderId="0" xfId="0" applyFont="1" applyProtection="1"/>
    <xf numFmtId="0" fontId="9" fillId="0" borderId="0" xfId="0" applyFont="1" applyProtection="1"/>
    <xf numFmtId="0" fontId="15" fillId="0" borderId="0" xfId="0" applyFont="1" applyProtection="1"/>
    <xf numFmtId="9" fontId="1" fillId="2" borderId="1" xfId="1" applyNumberFormat="1" applyProtection="1">
      <protection locked="0"/>
    </xf>
    <xf numFmtId="0" fontId="0" fillId="0" borderId="0" xfId="0" applyProtection="1">
      <protection hidden="1"/>
    </xf>
    <xf numFmtId="0" fontId="2" fillId="3" borderId="2" xfId="2" applyProtection="1">
      <protection hidden="1"/>
    </xf>
    <xf numFmtId="0" fontId="7" fillId="0" borderId="0" xfId="0" applyFont="1" applyAlignment="1">
      <alignment wrapText="1"/>
    </xf>
    <xf numFmtId="0" fontId="8"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2" fillId="0" borderId="0" xfId="0" applyFont="1" applyAlignment="1">
      <alignment wrapText="1"/>
    </xf>
    <xf numFmtId="0" fontId="0" fillId="0" borderId="0" xfId="0" applyFont="1" applyAlignment="1">
      <alignment wrapTex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5" xfId="0" applyFill="1" applyBorder="1"/>
    <xf numFmtId="0" fontId="0" fillId="0" borderId="16" xfId="0" applyBorder="1"/>
    <xf numFmtId="0" fontId="12" fillId="0" borderId="11" xfId="0" applyFont="1" applyBorder="1"/>
    <xf numFmtId="0" fontId="12" fillId="0" borderId="17" xfId="0" applyFont="1" applyBorder="1"/>
    <xf numFmtId="0" fontId="0" fillId="0" borderId="17" xfId="0" applyBorder="1"/>
    <xf numFmtId="0" fontId="0" fillId="0" borderId="18" xfId="0" applyBorder="1"/>
    <xf numFmtId="0" fontId="0" fillId="0" borderId="0" xfId="0" applyFill="1" applyBorder="1" applyProtection="1"/>
    <xf numFmtId="1" fontId="2" fillId="3" borderId="2" xfId="2" applyNumberFormat="1" applyProtection="1">
      <protection locked="0"/>
    </xf>
    <xf numFmtId="0" fontId="0" fillId="0" borderId="0" xfId="0" applyBorder="1" applyAlignment="1">
      <alignment wrapText="1"/>
    </xf>
    <xf numFmtId="0" fontId="0" fillId="0" borderId="0" xfId="0" applyFill="1" applyBorder="1" applyAlignment="1">
      <alignment wrapText="1"/>
    </xf>
    <xf numFmtId="0" fontId="0" fillId="0" borderId="13" xfId="0" applyBorder="1" applyAlignment="1">
      <alignment wrapText="1"/>
    </xf>
    <xf numFmtId="0" fontId="0" fillId="0" borderId="0" xfId="0" applyFill="1" applyProtection="1"/>
    <xf numFmtId="0" fontId="12" fillId="0" borderId="0" xfId="0" applyNumberFormat="1" applyFont="1" applyAlignment="1" applyProtection="1">
      <alignment wrapText="1"/>
    </xf>
    <xf numFmtId="0" fontId="12" fillId="0" borderId="0" xfId="0" applyFont="1" applyProtection="1"/>
    <xf numFmtId="164" fontId="0" fillId="0" borderId="0" xfId="0" applyNumberFormat="1" applyProtection="1"/>
    <xf numFmtId="164" fontId="12" fillId="0" borderId="0" xfId="0" applyNumberFormat="1" applyFont="1" applyProtection="1"/>
    <xf numFmtId="0" fontId="0" fillId="0" borderId="0" xfId="0" applyFont="1" applyProtection="1"/>
    <xf numFmtId="1" fontId="2" fillId="3" borderId="2" xfId="2" applyNumberFormat="1" applyProtection="1"/>
    <xf numFmtId="0" fontId="0" fillId="0" borderId="0" xfId="0" applyFont="1" applyFill="1" applyBorder="1" applyProtection="1"/>
    <xf numFmtId="9" fontId="0" fillId="0" borderId="0" xfId="3" applyFont="1" applyProtection="1"/>
    <xf numFmtId="10" fontId="0" fillId="0" borderId="0" xfId="3" applyNumberFormat="1" applyFont="1"/>
    <xf numFmtId="0" fontId="18" fillId="0" borderId="0" xfId="0" applyFont="1"/>
    <xf numFmtId="0" fontId="5" fillId="5" borderId="11" xfId="0" applyFont="1" applyFill="1" applyBorder="1" applyAlignment="1">
      <alignment vertical="center" wrapText="1"/>
    </xf>
    <xf numFmtId="2" fontId="0" fillId="0" borderId="11" xfId="0" applyNumberFormat="1" applyBorder="1"/>
    <xf numFmtId="2" fontId="12" fillId="0" borderId="11" xfId="0" applyNumberFormat="1" applyFont="1" applyBorder="1"/>
    <xf numFmtId="0" fontId="5" fillId="4" borderId="19" xfId="0" applyFont="1" applyFill="1" applyBorder="1" applyAlignment="1">
      <alignment vertical="center" wrapText="1"/>
    </xf>
    <xf numFmtId="0" fontId="5" fillId="4" borderId="20" xfId="0" applyFont="1" applyFill="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2" xfId="0" applyFont="1" applyBorder="1" applyAlignment="1">
      <alignment vertical="center" wrapText="1"/>
    </xf>
    <xf numFmtId="0" fontId="6" fillId="0" borderId="23" xfId="0" applyFont="1" applyBorder="1" applyAlignment="1">
      <alignment vertical="center" wrapText="1"/>
    </xf>
    <xf numFmtId="0" fontId="6" fillId="0" borderId="12"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4" xfId="0" applyFont="1" applyBorder="1" applyAlignment="1">
      <alignment vertical="center" wrapText="1"/>
    </xf>
    <xf numFmtId="0" fontId="6" fillId="0" borderId="14" xfId="0" applyFont="1" applyBorder="1" applyAlignment="1">
      <alignment vertical="center" wrapText="1"/>
    </xf>
  </cellXfs>
  <cellStyles count="8">
    <cellStyle name="Format 1" xfId="4" xr:uid="{00000000-0005-0000-0000-000000000000}"/>
    <cellStyle name="Format 2" xfId="5" xr:uid="{00000000-0005-0000-0000-000001000000}"/>
    <cellStyle name="Format 3" xfId="6" xr:uid="{00000000-0005-0000-0000-000002000000}"/>
    <cellStyle name="Format 4" xfId="7" xr:uid="{00000000-0005-0000-0000-000003000000}"/>
    <cellStyle name="Indata" xfId="1" builtinId="20"/>
    <cellStyle name="Normal" xfId="0" builtinId="0"/>
    <cellStyle name="Procent" xfId="3" builtinId="5"/>
    <cellStyle name="Utdata" xfId="2" builtinId="21"/>
  </cellStyles>
  <dxfs count="122">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381000</xdr:colOff>
      <xdr:row>25</xdr:row>
      <xdr:rowOff>57150</xdr:rowOff>
    </xdr:from>
    <xdr:ext cx="5856668" cy="264560"/>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381000" y="3467100"/>
          <a:ext cx="5856668" cy="26456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lang="sv-SE" sz="1100"/>
            <a:t>Fyll i information under fliken "Förutsättningar". Ju mer du fyller i om exploateringen, desto bättre.</a:t>
          </a:r>
        </a:p>
      </xdr:txBody>
    </xdr:sp>
    <xdr:clientData/>
  </xdr:oneCellAnchor>
  <xdr:oneCellAnchor>
    <xdr:from>
      <xdr:col>0</xdr:col>
      <xdr:colOff>381000</xdr:colOff>
      <xdr:row>28</xdr:row>
      <xdr:rowOff>66675</xdr:rowOff>
    </xdr:from>
    <xdr:ext cx="10026527" cy="436786"/>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381000" y="5492115"/>
          <a:ext cx="10026527" cy="436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none" rtlCol="0" anchor="t">
          <a:spAutoFit/>
        </a:bodyPr>
        <a:lstStyle/>
        <a:p>
          <a:r>
            <a:rPr lang="sv-SE" sz="1100"/>
            <a:t>Avläs resultaten under fliken "Resultat".</a:t>
          </a:r>
          <a:r>
            <a:rPr lang="sv-SE" sz="1100" baseline="0"/>
            <a:t> Här hittar du en sammanställning av alla resultat förutom för "Red samnyttjande DELVIS".</a:t>
          </a:r>
          <a:r>
            <a:rPr lang="sv-SE" sz="1100"/>
            <a:t> </a:t>
          </a:r>
        </a:p>
        <a:p>
          <a:r>
            <a:rPr lang="sv-SE" sz="1100"/>
            <a:t>För en fördjupning, avläs resultaten under</a:t>
          </a:r>
          <a:r>
            <a:rPr lang="sv-SE" sz="1100" baseline="0"/>
            <a:t> flikarna</a:t>
          </a:r>
          <a:r>
            <a:rPr lang="sv-SE" sz="1100"/>
            <a:t> "Cykel" och "Bil grundtal". Alla celler som färgats gröna innehållar resultat. Högst upp på dessa</a:t>
          </a:r>
          <a:r>
            <a:rPr lang="sv-SE" sz="1100" baseline="0"/>
            <a:t> sidor</a:t>
          </a:r>
          <a:r>
            <a:rPr lang="sv-SE" sz="1100"/>
            <a:t> finns en summering.</a:t>
          </a:r>
        </a:p>
      </xdr:txBody>
    </xdr:sp>
    <xdr:clientData/>
  </xdr:oneCellAnchor>
  <xdr:oneCellAnchor>
    <xdr:from>
      <xdr:col>0</xdr:col>
      <xdr:colOff>390525</xdr:colOff>
      <xdr:row>32</xdr:row>
      <xdr:rowOff>57150</xdr:rowOff>
    </xdr:from>
    <xdr:ext cx="5668411" cy="264560"/>
    <xdr:sp macro="" textlink="">
      <xdr:nvSpPr>
        <xdr:cNvPr id="4" name="textruta 3">
          <a:extLst>
            <a:ext uri="{FF2B5EF4-FFF2-40B4-BE49-F238E27FC236}">
              <a16:creationId xmlns:a16="http://schemas.microsoft.com/office/drawing/2014/main" id="{00000000-0008-0000-0000-000004000000}"/>
            </a:ext>
          </a:extLst>
        </xdr:cNvPr>
        <xdr:cNvSpPr txBox="1"/>
      </xdr:nvSpPr>
      <xdr:spPr>
        <a:xfrm>
          <a:off x="390525" y="6214110"/>
          <a:ext cx="5668411" cy="26456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lang="sv-SE" sz="1100"/>
            <a:t>Önskar byggherren använda flexibla</a:t>
          </a:r>
          <a:r>
            <a:rPr lang="sv-SE" sz="1100" baseline="0"/>
            <a:t> </a:t>
          </a:r>
          <a:r>
            <a:rPr lang="sv-SE" sz="1100"/>
            <a:t>parkeringstal för att reducera</a:t>
          </a:r>
          <a:r>
            <a:rPr lang="sv-SE" sz="1100" baseline="0"/>
            <a:t> antalet bilparkeringsplatser ?</a:t>
          </a:r>
          <a:endParaRPr lang="sv-SE" sz="1100"/>
        </a:p>
      </xdr:txBody>
    </xdr:sp>
    <xdr:clientData/>
  </xdr:oneCellAnchor>
  <xdr:oneCellAnchor>
    <xdr:from>
      <xdr:col>0</xdr:col>
      <xdr:colOff>400050</xdr:colOff>
      <xdr:row>35</xdr:row>
      <xdr:rowOff>95249</xdr:rowOff>
    </xdr:from>
    <xdr:ext cx="2247900" cy="781240"/>
    <xdr:sp macro="" textlink="">
      <xdr:nvSpPr>
        <xdr:cNvPr id="5" name="textruta 4">
          <a:extLst>
            <a:ext uri="{FF2B5EF4-FFF2-40B4-BE49-F238E27FC236}">
              <a16:creationId xmlns:a16="http://schemas.microsoft.com/office/drawing/2014/main" id="{00000000-0008-0000-0000-000005000000}"/>
            </a:ext>
          </a:extLst>
        </xdr:cNvPr>
        <xdr:cNvSpPr txBox="1"/>
      </xdr:nvSpPr>
      <xdr:spPr>
        <a:xfrm>
          <a:off x="400050" y="6800849"/>
          <a:ext cx="2247900" cy="78124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t>Fyll i procentsatser för reduktion i de orange cellerna</a:t>
          </a:r>
          <a:r>
            <a:rPr lang="sv-SE" sz="1100" baseline="0"/>
            <a:t> </a:t>
          </a:r>
          <a:r>
            <a:rPr lang="sv-SE" sz="1100"/>
            <a:t>under flikarna "Red bilpool" och/eller "Red MM". Avläs resultat i gröna celler.</a:t>
          </a:r>
        </a:p>
      </xdr:txBody>
    </xdr:sp>
    <xdr:clientData/>
  </xdr:oneCellAnchor>
  <xdr:oneCellAnchor>
    <xdr:from>
      <xdr:col>10</xdr:col>
      <xdr:colOff>504825</xdr:colOff>
      <xdr:row>38</xdr:row>
      <xdr:rowOff>26670</xdr:rowOff>
    </xdr:from>
    <xdr:ext cx="2247900" cy="436786"/>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507605" y="7280910"/>
          <a:ext cx="2247900" cy="43678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sv-SE" sz="1100"/>
            <a:t>Önskar byggherren få reduktion för samnyttjande?</a:t>
          </a:r>
        </a:p>
      </xdr:txBody>
    </xdr:sp>
    <xdr:clientData/>
  </xdr:oneCellAnchor>
  <xdr:oneCellAnchor>
    <xdr:from>
      <xdr:col>0</xdr:col>
      <xdr:colOff>419100</xdr:colOff>
      <xdr:row>41</xdr:row>
      <xdr:rowOff>57150</xdr:rowOff>
    </xdr:from>
    <xdr:ext cx="3181350" cy="264560"/>
    <xdr:sp macro="" textlink="">
      <xdr:nvSpPr>
        <xdr:cNvPr id="7" name="textruta 6">
          <a:extLst>
            <a:ext uri="{FF2B5EF4-FFF2-40B4-BE49-F238E27FC236}">
              <a16:creationId xmlns:a16="http://schemas.microsoft.com/office/drawing/2014/main" id="{00000000-0008-0000-0000-000007000000}"/>
            </a:ext>
          </a:extLst>
        </xdr:cNvPr>
        <xdr:cNvSpPr txBox="1"/>
      </xdr:nvSpPr>
      <xdr:spPr>
        <a:xfrm>
          <a:off x="419100" y="7860030"/>
          <a:ext cx="3181350" cy="26456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sv-SE" sz="1100"/>
            <a:t>Önskar byggherren få reduktion för samnyttjande?</a:t>
          </a:r>
        </a:p>
      </xdr:txBody>
    </xdr:sp>
    <xdr:clientData/>
  </xdr:oneCellAnchor>
  <xdr:twoCellAnchor>
    <xdr:from>
      <xdr:col>0</xdr:col>
      <xdr:colOff>1392556</xdr:colOff>
      <xdr:row>26</xdr:row>
      <xdr:rowOff>142875</xdr:rowOff>
    </xdr:from>
    <xdr:to>
      <xdr:col>1</xdr:col>
      <xdr:colOff>66675</xdr:colOff>
      <xdr:row>28</xdr:row>
      <xdr:rowOff>47625</xdr:rowOff>
    </xdr:to>
    <xdr:sp macro="" textlink="">
      <xdr:nvSpPr>
        <xdr:cNvPr id="8" name="Ned 7">
          <a:extLst>
            <a:ext uri="{FF2B5EF4-FFF2-40B4-BE49-F238E27FC236}">
              <a16:creationId xmlns:a16="http://schemas.microsoft.com/office/drawing/2014/main" id="{00000000-0008-0000-0000-000008000000}"/>
            </a:ext>
          </a:extLst>
        </xdr:cNvPr>
        <xdr:cNvSpPr/>
      </xdr:nvSpPr>
      <xdr:spPr>
        <a:xfrm>
          <a:off x="1392556" y="3743325"/>
          <a:ext cx="150494"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1392556</xdr:colOff>
      <xdr:row>30</xdr:row>
      <xdr:rowOff>142876</xdr:rowOff>
    </xdr:from>
    <xdr:to>
      <xdr:col>1</xdr:col>
      <xdr:colOff>85725</xdr:colOff>
      <xdr:row>32</xdr:row>
      <xdr:rowOff>22860</xdr:rowOff>
    </xdr:to>
    <xdr:sp macro="" textlink="">
      <xdr:nvSpPr>
        <xdr:cNvPr id="9" name="Ned 8">
          <a:extLst>
            <a:ext uri="{FF2B5EF4-FFF2-40B4-BE49-F238E27FC236}">
              <a16:creationId xmlns:a16="http://schemas.microsoft.com/office/drawing/2014/main" id="{00000000-0008-0000-0000-000009000000}"/>
            </a:ext>
          </a:extLst>
        </xdr:cNvPr>
        <xdr:cNvSpPr/>
      </xdr:nvSpPr>
      <xdr:spPr>
        <a:xfrm>
          <a:off x="1392556" y="5934076"/>
          <a:ext cx="209549" cy="24574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1114424</xdr:colOff>
      <xdr:row>33</xdr:row>
      <xdr:rowOff>161925</xdr:rowOff>
    </xdr:from>
    <xdr:to>
      <xdr:col>1</xdr:col>
      <xdr:colOff>276224</xdr:colOff>
      <xdr:row>35</xdr:row>
      <xdr:rowOff>66675</xdr:rowOff>
    </xdr:to>
    <xdr:sp macro="" textlink="">
      <xdr:nvSpPr>
        <xdr:cNvPr id="10" name="Ned 9">
          <a:extLst>
            <a:ext uri="{FF2B5EF4-FFF2-40B4-BE49-F238E27FC236}">
              <a16:creationId xmlns:a16="http://schemas.microsoft.com/office/drawing/2014/main" id="{00000000-0008-0000-0000-00000A000000}"/>
            </a:ext>
          </a:extLst>
        </xdr:cNvPr>
        <xdr:cNvSpPr/>
      </xdr:nvSpPr>
      <xdr:spPr>
        <a:xfrm>
          <a:off x="1114424" y="6501765"/>
          <a:ext cx="678180" cy="27051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JA</a:t>
          </a:r>
        </a:p>
      </xdr:txBody>
    </xdr:sp>
    <xdr:clientData/>
  </xdr:twoCellAnchor>
  <xdr:twoCellAnchor>
    <xdr:from>
      <xdr:col>8</xdr:col>
      <xdr:colOff>289146</xdr:colOff>
      <xdr:row>32</xdr:row>
      <xdr:rowOff>3400</xdr:rowOff>
    </xdr:from>
    <xdr:to>
      <xdr:col>10</xdr:col>
      <xdr:colOff>469660</xdr:colOff>
      <xdr:row>34</xdr:row>
      <xdr:rowOff>30393</xdr:rowOff>
    </xdr:to>
    <xdr:sp macro="" textlink="">
      <xdr:nvSpPr>
        <xdr:cNvPr id="11" name="Ned 10">
          <a:extLst>
            <a:ext uri="{FF2B5EF4-FFF2-40B4-BE49-F238E27FC236}">
              <a16:creationId xmlns:a16="http://schemas.microsoft.com/office/drawing/2014/main" id="{00000000-0008-0000-0000-00000B000000}"/>
            </a:ext>
          </a:extLst>
        </xdr:cNvPr>
        <xdr:cNvSpPr/>
      </xdr:nvSpPr>
      <xdr:spPr>
        <a:xfrm rot="16200000">
          <a:off x="6576206" y="5656880"/>
          <a:ext cx="392753" cy="1399714"/>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NEJ</a:t>
          </a:r>
        </a:p>
      </xdr:txBody>
    </xdr:sp>
    <xdr:clientData/>
  </xdr:twoCellAnchor>
  <xdr:twoCellAnchor>
    <xdr:from>
      <xdr:col>0</xdr:col>
      <xdr:colOff>1363981</xdr:colOff>
      <xdr:row>39</xdr:row>
      <xdr:rowOff>154305</xdr:rowOff>
    </xdr:from>
    <xdr:to>
      <xdr:col>1</xdr:col>
      <xdr:colOff>38100</xdr:colOff>
      <xdr:row>41</xdr:row>
      <xdr:rowOff>45720</xdr:rowOff>
    </xdr:to>
    <xdr:sp macro="" textlink="">
      <xdr:nvSpPr>
        <xdr:cNvPr id="12" name="Ned 11">
          <a:extLst>
            <a:ext uri="{FF2B5EF4-FFF2-40B4-BE49-F238E27FC236}">
              <a16:creationId xmlns:a16="http://schemas.microsoft.com/office/drawing/2014/main" id="{00000000-0008-0000-0000-00000C000000}"/>
            </a:ext>
          </a:extLst>
        </xdr:cNvPr>
        <xdr:cNvSpPr/>
      </xdr:nvSpPr>
      <xdr:spPr>
        <a:xfrm>
          <a:off x="1363981" y="7591425"/>
          <a:ext cx="190499"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10</xdr:col>
      <xdr:colOff>514349</xdr:colOff>
      <xdr:row>32</xdr:row>
      <xdr:rowOff>66674</xdr:rowOff>
    </xdr:from>
    <xdr:ext cx="2752725" cy="609013"/>
    <xdr:sp macro="" textlink="">
      <xdr:nvSpPr>
        <xdr:cNvPr id="16" name="textruta 15">
          <a:extLst>
            <a:ext uri="{FF2B5EF4-FFF2-40B4-BE49-F238E27FC236}">
              <a16:creationId xmlns:a16="http://schemas.microsoft.com/office/drawing/2014/main" id="{00000000-0008-0000-0000-000010000000}"/>
            </a:ext>
          </a:extLst>
        </xdr:cNvPr>
        <xdr:cNvSpPr txBox="1"/>
      </xdr:nvSpPr>
      <xdr:spPr>
        <a:xfrm>
          <a:off x="7517129" y="6223634"/>
          <a:ext cx="2752725" cy="60901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t>Kontrollera</a:t>
          </a:r>
          <a:r>
            <a:rPr lang="sv-SE" sz="1100" baseline="0"/>
            <a:t> att procentsatserna i de orange cellerna på flikarna "Red bilpool" och "Red MM" är satta till 0 %, dvs ingen reduktion.</a:t>
          </a:r>
          <a:endParaRPr lang="sv-SE" sz="1100"/>
        </a:p>
      </xdr:txBody>
    </xdr:sp>
    <xdr:clientData/>
  </xdr:oneCellAnchor>
  <xdr:twoCellAnchor>
    <xdr:from>
      <xdr:col>12</xdr:col>
      <xdr:colOff>278130</xdr:colOff>
      <xdr:row>35</xdr:row>
      <xdr:rowOff>160020</xdr:rowOff>
    </xdr:from>
    <xdr:to>
      <xdr:col>12</xdr:col>
      <xdr:colOff>441959</xdr:colOff>
      <xdr:row>38</xdr:row>
      <xdr:rowOff>17145</xdr:rowOff>
    </xdr:to>
    <xdr:sp macro="" textlink="">
      <xdr:nvSpPr>
        <xdr:cNvPr id="17" name="Ned 16">
          <a:extLst>
            <a:ext uri="{FF2B5EF4-FFF2-40B4-BE49-F238E27FC236}">
              <a16:creationId xmlns:a16="http://schemas.microsoft.com/office/drawing/2014/main" id="{00000000-0008-0000-0000-000011000000}"/>
            </a:ext>
          </a:extLst>
        </xdr:cNvPr>
        <xdr:cNvSpPr/>
      </xdr:nvSpPr>
      <xdr:spPr>
        <a:xfrm>
          <a:off x="8500110" y="6865620"/>
          <a:ext cx="163829" cy="4057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1143000</xdr:colOff>
      <xdr:row>42</xdr:row>
      <xdr:rowOff>133350</xdr:rowOff>
    </xdr:from>
    <xdr:to>
      <xdr:col>1</xdr:col>
      <xdr:colOff>314324</xdr:colOff>
      <xdr:row>46</xdr:row>
      <xdr:rowOff>95250</xdr:rowOff>
    </xdr:to>
    <xdr:sp macro="" textlink="">
      <xdr:nvSpPr>
        <xdr:cNvPr id="18" name="Ned 17">
          <a:extLst>
            <a:ext uri="{FF2B5EF4-FFF2-40B4-BE49-F238E27FC236}">
              <a16:creationId xmlns:a16="http://schemas.microsoft.com/office/drawing/2014/main" id="{00000000-0008-0000-0000-000012000000}"/>
            </a:ext>
          </a:extLst>
        </xdr:cNvPr>
        <xdr:cNvSpPr/>
      </xdr:nvSpPr>
      <xdr:spPr>
        <a:xfrm>
          <a:off x="1143000" y="8119110"/>
          <a:ext cx="687704" cy="69342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JA</a:t>
          </a:r>
        </a:p>
      </xdr:txBody>
    </xdr:sp>
    <xdr:clientData/>
  </xdr:twoCellAnchor>
  <xdr:oneCellAnchor>
    <xdr:from>
      <xdr:col>0</xdr:col>
      <xdr:colOff>409575</xdr:colOff>
      <xdr:row>47</xdr:row>
      <xdr:rowOff>118110</xdr:rowOff>
    </xdr:from>
    <xdr:ext cx="2247900" cy="436786"/>
    <xdr:sp macro="" textlink="">
      <xdr:nvSpPr>
        <xdr:cNvPr id="19" name="textruta 18">
          <a:extLst>
            <a:ext uri="{FF2B5EF4-FFF2-40B4-BE49-F238E27FC236}">
              <a16:creationId xmlns:a16="http://schemas.microsoft.com/office/drawing/2014/main" id="{00000000-0008-0000-0000-000013000000}"/>
            </a:ext>
          </a:extLst>
        </xdr:cNvPr>
        <xdr:cNvSpPr txBox="1"/>
      </xdr:nvSpPr>
      <xdr:spPr>
        <a:xfrm>
          <a:off x="409575" y="8492490"/>
          <a:ext cx="2247900" cy="43678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sv-SE" sz="1100"/>
            <a:t>Ska samtliga parkeringsplatser ordnas</a:t>
          </a:r>
          <a:r>
            <a:rPr lang="sv-SE" sz="1100" baseline="0"/>
            <a:t> på den egna fastigheten?</a:t>
          </a:r>
          <a:endParaRPr lang="sv-SE" sz="1100"/>
        </a:p>
      </xdr:txBody>
    </xdr:sp>
    <xdr:clientData/>
  </xdr:oneCellAnchor>
  <xdr:twoCellAnchor>
    <xdr:from>
      <xdr:col>0</xdr:col>
      <xdr:colOff>1133475</xdr:colOff>
      <xdr:row>50</xdr:row>
      <xdr:rowOff>7620</xdr:rowOff>
    </xdr:from>
    <xdr:to>
      <xdr:col>1</xdr:col>
      <xdr:colOff>295275</xdr:colOff>
      <xdr:row>51</xdr:row>
      <xdr:rowOff>95250</xdr:rowOff>
    </xdr:to>
    <xdr:sp macro="" textlink="">
      <xdr:nvSpPr>
        <xdr:cNvPr id="20" name="Ned 19">
          <a:extLst>
            <a:ext uri="{FF2B5EF4-FFF2-40B4-BE49-F238E27FC236}">
              <a16:creationId xmlns:a16="http://schemas.microsoft.com/office/drawing/2014/main" id="{00000000-0008-0000-0000-000014000000}"/>
            </a:ext>
          </a:extLst>
        </xdr:cNvPr>
        <xdr:cNvSpPr/>
      </xdr:nvSpPr>
      <xdr:spPr>
        <a:xfrm>
          <a:off x="1133475" y="8930640"/>
          <a:ext cx="678180" cy="27051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JA</a:t>
          </a:r>
        </a:p>
      </xdr:txBody>
    </xdr:sp>
    <xdr:clientData/>
  </xdr:twoCellAnchor>
  <xdr:twoCellAnchor>
    <xdr:from>
      <xdr:col>4</xdr:col>
      <xdr:colOff>264669</xdr:colOff>
      <xdr:row>41</xdr:row>
      <xdr:rowOff>11553</xdr:rowOff>
    </xdr:from>
    <xdr:to>
      <xdr:col>5</xdr:col>
      <xdr:colOff>464821</xdr:colOff>
      <xdr:row>43</xdr:row>
      <xdr:rowOff>23306</xdr:rowOff>
    </xdr:to>
    <xdr:sp macro="" textlink="">
      <xdr:nvSpPr>
        <xdr:cNvPr id="21" name="Ned 20">
          <a:extLst>
            <a:ext uri="{FF2B5EF4-FFF2-40B4-BE49-F238E27FC236}">
              <a16:creationId xmlns:a16="http://schemas.microsoft.com/office/drawing/2014/main" id="{00000000-0008-0000-0000-000015000000}"/>
            </a:ext>
          </a:extLst>
        </xdr:cNvPr>
        <xdr:cNvSpPr/>
      </xdr:nvSpPr>
      <xdr:spPr>
        <a:xfrm rot="-5400000">
          <a:off x="3825968" y="7598314"/>
          <a:ext cx="377513" cy="809752"/>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NEJ</a:t>
          </a:r>
        </a:p>
      </xdr:txBody>
    </xdr:sp>
    <xdr:clientData/>
  </xdr:twoCellAnchor>
  <xdr:oneCellAnchor>
    <xdr:from>
      <xdr:col>5</xdr:col>
      <xdr:colOff>491490</xdr:colOff>
      <xdr:row>39</xdr:row>
      <xdr:rowOff>76198</xdr:rowOff>
    </xdr:from>
    <xdr:ext cx="1952625" cy="1297919"/>
    <xdr:sp macro="" textlink="">
      <xdr:nvSpPr>
        <xdr:cNvPr id="22" name="textruta 21">
          <a:extLst>
            <a:ext uri="{FF2B5EF4-FFF2-40B4-BE49-F238E27FC236}">
              <a16:creationId xmlns:a16="http://schemas.microsoft.com/office/drawing/2014/main" id="{00000000-0008-0000-0000-000016000000}"/>
            </a:ext>
          </a:extLst>
        </xdr:cNvPr>
        <xdr:cNvSpPr txBox="1"/>
      </xdr:nvSpPr>
      <xdr:spPr>
        <a:xfrm>
          <a:off x="4446270" y="6987538"/>
          <a:ext cx="1952625" cy="1297919"/>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1100" b="0"/>
            <a:t>De resultat som visas i gröna celler på fliken "Resultat" visar</a:t>
          </a:r>
          <a:r>
            <a:rPr lang="sv-SE" sz="1100" b="0" baseline="0"/>
            <a:t> slutlig parkeringsefterfrågan efter reduktion för bilpool och/eller MM. Fördjupad information finns i fliken </a:t>
          </a:r>
          <a:r>
            <a:rPr lang="sv-SE" sz="1100" b="0">
              <a:solidFill>
                <a:schemeClr val="dk1"/>
              </a:solidFill>
              <a:effectLst/>
              <a:latin typeface="+mn-lt"/>
              <a:ea typeface="+mn-ea"/>
              <a:cs typeface="+mn-cs"/>
            </a:rPr>
            <a:t>"Red MM".</a:t>
          </a:r>
          <a:endParaRPr lang="sv-SE" sz="1100" b="0"/>
        </a:p>
      </xdr:txBody>
    </xdr:sp>
    <xdr:clientData/>
  </xdr:oneCellAnchor>
  <xdr:twoCellAnchor>
    <xdr:from>
      <xdr:col>2</xdr:col>
      <xdr:colOff>554784</xdr:colOff>
      <xdr:row>47</xdr:row>
      <xdr:rowOff>154828</xdr:rowOff>
    </xdr:from>
    <xdr:to>
      <xdr:col>5</xdr:col>
      <xdr:colOff>457203</xdr:colOff>
      <xdr:row>49</xdr:row>
      <xdr:rowOff>181821</xdr:rowOff>
    </xdr:to>
    <xdr:sp macro="" textlink="">
      <xdr:nvSpPr>
        <xdr:cNvPr id="23" name="Ned 22">
          <a:extLst>
            <a:ext uri="{FF2B5EF4-FFF2-40B4-BE49-F238E27FC236}">
              <a16:creationId xmlns:a16="http://schemas.microsoft.com/office/drawing/2014/main" id="{00000000-0008-0000-0000-000017000000}"/>
            </a:ext>
          </a:extLst>
        </xdr:cNvPr>
        <xdr:cNvSpPr/>
      </xdr:nvSpPr>
      <xdr:spPr>
        <a:xfrm rot="16200000">
          <a:off x="3349997" y="7859975"/>
          <a:ext cx="392753" cy="1731219"/>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NEJ</a:t>
          </a:r>
        </a:p>
      </xdr:txBody>
    </xdr:sp>
    <xdr:clientData/>
  </xdr:twoCellAnchor>
  <xdr:oneCellAnchor>
    <xdr:from>
      <xdr:col>0</xdr:col>
      <xdr:colOff>400050</xdr:colOff>
      <xdr:row>51</xdr:row>
      <xdr:rowOff>133349</xdr:rowOff>
    </xdr:from>
    <xdr:ext cx="2247900" cy="781240"/>
    <xdr:sp macro="" textlink="">
      <xdr:nvSpPr>
        <xdr:cNvPr id="24" name="textruta 23">
          <a:extLst>
            <a:ext uri="{FF2B5EF4-FFF2-40B4-BE49-F238E27FC236}">
              <a16:creationId xmlns:a16="http://schemas.microsoft.com/office/drawing/2014/main" id="{00000000-0008-0000-0000-000018000000}"/>
            </a:ext>
          </a:extLst>
        </xdr:cNvPr>
        <xdr:cNvSpPr txBox="1"/>
      </xdr:nvSpPr>
      <xdr:spPr>
        <a:xfrm>
          <a:off x="400050" y="9239249"/>
          <a:ext cx="2247900" cy="78124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1100"/>
            <a:t>Avläs</a:t>
          </a:r>
          <a:r>
            <a:rPr lang="sv-SE" sz="1100" baseline="0"/>
            <a:t> resultaten i de gröna cellerna under fliken "Resultat". Fördjupad information finns under "Red samnyttjande ALLA".</a:t>
          </a:r>
          <a:endParaRPr lang="sv-SE" sz="1100"/>
        </a:p>
      </xdr:txBody>
    </xdr:sp>
    <xdr:clientData/>
  </xdr:oneCellAnchor>
  <xdr:oneCellAnchor>
    <xdr:from>
      <xdr:col>5</xdr:col>
      <xdr:colOff>495300</xdr:colOff>
      <xdr:row>47</xdr:row>
      <xdr:rowOff>123824</xdr:rowOff>
    </xdr:from>
    <xdr:ext cx="2247900" cy="953466"/>
    <xdr:sp macro="" textlink="">
      <xdr:nvSpPr>
        <xdr:cNvPr id="25" name="textruta 24">
          <a:extLst>
            <a:ext uri="{FF2B5EF4-FFF2-40B4-BE49-F238E27FC236}">
              <a16:creationId xmlns:a16="http://schemas.microsoft.com/office/drawing/2014/main" id="{00000000-0008-0000-0000-000019000000}"/>
            </a:ext>
          </a:extLst>
        </xdr:cNvPr>
        <xdr:cNvSpPr txBox="1"/>
      </xdr:nvSpPr>
      <xdr:spPr>
        <a:xfrm>
          <a:off x="4450080" y="8498204"/>
          <a:ext cx="2247900" cy="9534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t>Fyll i antalet parkeringsplatser som ska samnyttjas för</a:t>
          </a:r>
          <a:r>
            <a:rPr lang="sv-SE" sz="1100" baseline="0"/>
            <a:t> varje typ av verksamhet i de orange cellerna under fliken "Red samnyttjande DELVIS".</a:t>
          </a:r>
          <a:endParaRPr lang="sv-SE" sz="1100"/>
        </a:p>
      </xdr:txBody>
    </xdr:sp>
    <xdr:clientData/>
  </xdr:oneCellAnchor>
  <xdr:twoCellAnchor>
    <xdr:from>
      <xdr:col>7</xdr:col>
      <xdr:colOff>297181</xdr:colOff>
      <xdr:row>52</xdr:row>
      <xdr:rowOff>163830</xdr:rowOff>
    </xdr:from>
    <xdr:to>
      <xdr:col>7</xdr:col>
      <xdr:colOff>466725</xdr:colOff>
      <xdr:row>54</xdr:row>
      <xdr:rowOff>106680</xdr:rowOff>
    </xdr:to>
    <xdr:sp macro="" textlink="">
      <xdr:nvSpPr>
        <xdr:cNvPr id="26" name="Ned 25">
          <a:extLst>
            <a:ext uri="{FF2B5EF4-FFF2-40B4-BE49-F238E27FC236}">
              <a16:creationId xmlns:a16="http://schemas.microsoft.com/office/drawing/2014/main" id="{00000000-0008-0000-0000-00001A000000}"/>
            </a:ext>
          </a:extLst>
        </xdr:cNvPr>
        <xdr:cNvSpPr/>
      </xdr:nvSpPr>
      <xdr:spPr>
        <a:xfrm>
          <a:off x="5471161" y="9452610"/>
          <a:ext cx="169544" cy="3086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5</xdr:col>
      <xdr:colOff>485776</xdr:colOff>
      <xdr:row>54</xdr:row>
      <xdr:rowOff>146684</xdr:rowOff>
    </xdr:from>
    <xdr:ext cx="2286000" cy="781240"/>
    <xdr:sp macro="" textlink="">
      <xdr:nvSpPr>
        <xdr:cNvPr id="27" name="textruta 26">
          <a:extLst>
            <a:ext uri="{FF2B5EF4-FFF2-40B4-BE49-F238E27FC236}">
              <a16:creationId xmlns:a16="http://schemas.microsoft.com/office/drawing/2014/main" id="{00000000-0008-0000-0000-00001B000000}"/>
            </a:ext>
          </a:extLst>
        </xdr:cNvPr>
        <xdr:cNvSpPr txBox="1"/>
      </xdr:nvSpPr>
      <xdr:spPr>
        <a:xfrm>
          <a:off x="4381501" y="10719434"/>
          <a:ext cx="2286000" cy="78124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100"/>
            <a:t>Avläs resultaten i de gröna cellerna under fliken "Red samnyttjande DELVIS". </a:t>
          </a:r>
          <a:r>
            <a:rPr lang="sv-SE" sz="1100">
              <a:solidFill>
                <a:schemeClr val="dk1"/>
              </a:solidFill>
              <a:effectLst/>
              <a:latin typeface="+mn-lt"/>
              <a:ea typeface="+mn-ea"/>
              <a:cs typeface="+mn-cs"/>
            </a:rPr>
            <a:t>Denna information saknas i </a:t>
          </a:r>
          <a:r>
            <a:rPr lang="sv-SE" sz="1100" baseline="0">
              <a:solidFill>
                <a:schemeClr val="dk1"/>
              </a:solidFill>
              <a:effectLst/>
              <a:latin typeface="+mn-lt"/>
              <a:ea typeface="+mn-ea"/>
              <a:cs typeface="+mn-cs"/>
            </a:rPr>
            <a:t>samlingsfliken "Resultat".</a:t>
          </a:r>
          <a:endParaRPr lang="sv-SE">
            <a:effectLst/>
          </a:endParaRPr>
        </a:p>
      </xdr:txBody>
    </xdr:sp>
    <xdr:clientData/>
  </xdr:oneCellAnchor>
  <xdr:twoCellAnchor>
    <xdr:from>
      <xdr:col>12</xdr:col>
      <xdr:colOff>171451</xdr:colOff>
      <xdr:row>40</xdr:row>
      <xdr:rowOff>93347</xdr:rowOff>
    </xdr:from>
    <xdr:to>
      <xdr:col>12</xdr:col>
      <xdr:colOff>563880</xdr:colOff>
      <xdr:row>43</xdr:row>
      <xdr:rowOff>22860</xdr:rowOff>
    </xdr:to>
    <xdr:sp macro="" textlink="">
      <xdr:nvSpPr>
        <xdr:cNvPr id="28" name="Ned 27">
          <a:extLst>
            <a:ext uri="{FF2B5EF4-FFF2-40B4-BE49-F238E27FC236}">
              <a16:creationId xmlns:a16="http://schemas.microsoft.com/office/drawing/2014/main" id="{00000000-0008-0000-0000-00001C000000}"/>
            </a:ext>
          </a:extLst>
        </xdr:cNvPr>
        <xdr:cNvSpPr/>
      </xdr:nvSpPr>
      <xdr:spPr>
        <a:xfrm>
          <a:off x="8393431" y="7713347"/>
          <a:ext cx="392429" cy="478153"/>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JA</a:t>
          </a:r>
        </a:p>
      </xdr:txBody>
    </xdr:sp>
    <xdr:clientData/>
  </xdr:twoCellAnchor>
  <xdr:oneCellAnchor>
    <xdr:from>
      <xdr:col>10</xdr:col>
      <xdr:colOff>542925</xdr:colOff>
      <xdr:row>43</xdr:row>
      <xdr:rowOff>55247</xdr:rowOff>
    </xdr:from>
    <xdr:ext cx="2247900" cy="436786"/>
    <xdr:sp macro="" textlink="">
      <xdr:nvSpPr>
        <xdr:cNvPr id="29" name="textruta 28">
          <a:extLst>
            <a:ext uri="{FF2B5EF4-FFF2-40B4-BE49-F238E27FC236}">
              <a16:creationId xmlns:a16="http://schemas.microsoft.com/office/drawing/2014/main" id="{00000000-0008-0000-0000-00001D000000}"/>
            </a:ext>
          </a:extLst>
        </xdr:cNvPr>
        <xdr:cNvSpPr txBox="1"/>
      </xdr:nvSpPr>
      <xdr:spPr>
        <a:xfrm>
          <a:off x="7545705" y="7698107"/>
          <a:ext cx="2247900" cy="43678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sv-SE" sz="1100"/>
            <a:t>Ska samtliga parkeringsplatser ordnas</a:t>
          </a:r>
          <a:r>
            <a:rPr lang="sv-SE" sz="1100" baseline="0"/>
            <a:t> på den egna fastigheten?</a:t>
          </a:r>
          <a:endParaRPr lang="sv-SE" sz="1100"/>
        </a:p>
      </xdr:txBody>
    </xdr:sp>
    <xdr:clientData/>
  </xdr:oneCellAnchor>
  <xdr:twoCellAnchor>
    <xdr:from>
      <xdr:col>12</xdr:col>
      <xdr:colOff>47625</xdr:colOff>
      <xdr:row>45</xdr:row>
      <xdr:rowOff>127637</xdr:rowOff>
    </xdr:from>
    <xdr:to>
      <xdr:col>13</xdr:col>
      <xdr:colOff>76200</xdr:colOff>
      <xdr:row>47</xdr:row>
      <xdr:rowOff>32387</xdr:rowOff>
    </xdr:to>
    <xdr:sp macro="" textlink="">
      <xdr:nvSpPr>
        <xdr:cNvPr id="30" name="Ned 29">
          <a:extLst>
            <a:ext uri="{FF2B5EF4-FFF2-40B4-BE49-F238E27FC236}">
              <a16:creationId xmlns:a16="http://schemas.microsoft.com/office/drawing/2014/main" id="{00000000-0008-0000-0000-00001E000000}"/>
            </a:ext>
          </a:extLst>
        </xdr:cNvPr>
        <xdr:cNvSpPr/>
      </xdr:nvSpPr>
      <xdr:spPr>
        <a:xfrm>
          <a:off x="8269605" y="8136257"/>
          <a:ext cx="638175" cy="27051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JA</a:t>
          </a:r>
        </a:p>
      </xdr:txBody>
    </xdr:sp>
    <xdr:clientData/>
  </xdr:twoCellAnchor>
  <xdr:twoCellAnchor>
    <xdr:from>
      <xdr:col>14</xdr:col>
      <xdr:colOff>321819</xdr:colOff>
      <xdr:row>38</xdr:row>
      <xdr:rowOff>66800</xdr:rowOff>
    </xdr:from>
    <xdr:to>
      <xdr:col>15</xdr:col>
      <xdr:colOff>533401</xdr:colOff>
      <xdr:row>40</xdr:row>
      <xdr:rowOff>78553</xdr:rowOff>
    </xdr:to>
    <xdr:sp macro="" textlink="">
      <xdr:nvSpPr>
        <xdr:cNvPr id="31" name="Ned 30">
          <a:extLst>
            <a:ext uri="{FF2B5EF4-FFF2-40B4-BE49-F238E27FC236}">
              <a16:creationId xmlns:a16="http://schemas.microsoft.com/office/drawing/2014/main" id="{00000000-0008-0000-0000-00001F000000}"/>
            </a:ext>
          </a:extLst>
        </xdr:cNvPr>
        <xdr:cNvSpPr/>
      </xdr:nvSpPr>
      <xdr:spPr>
        <a:xfrm rot="-5400000">
          <a:off x="10026743" y="7057296"/>
          <a:ext cx="377513" cy="905002"/>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NEJ</a:t>
          </a:r>
        </a:p>
      </xdr:txBody>
    </xdr:sp>
    <xdr:clientData/>
  </xdr:twoCellAnchor>
  <xdr:oneCellAnchor>
    <xdr:from>
      <xdr:col>15</xdr:col>
      <xdr:colOff>571500</xdr:colOff>
      <xdr:row>36</xdr:row>
      <xdr:rowOff>17145</xdr:rowOff>
    </xdr:from>
    <xdr:ext cx="1952625" cy="953466"/>
    <xdr:sp macro="" textlink="">
      <xdr:nvSpPr>
        <xdr:cNvPr id="32" name="textruta 31">
          <a:extLst>
            <a:ext uri="{FF2B5EF4-FFF2-40B4-BE49-F238E27FC236}">
              <a16:creationId xmlns:a16="http://schemas.microsoft.com/office/drawing/2014/main" id="{00000000-0008-0000-0000-000020000000}"/>
            </a:ext>
          </a:extLst>
        </xdr:cNvPr>
        <xdr:cNvSpPr txBox="1"/>
      </xdr:nvSpPr>
      <xdr:spPr>
        <a:xfrm>
          <a:off x="10706100" y="6379845"/>
          <a:ext cx="1952625" cy="95346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1100" b="0"/>
            <a:t>Det slutliga resultatet visas i gröna celler på</a:t>
          </a:r>
          <a:r>
            <a:rPr lang="sv-SE" sz="1100" b="0" baseline="0"/>
            <a:t> </a:t>
          </a:r>
          <a:r>
            <a:rPr lang="sv-SE" sz="1100">
              <a:solidFill>
                <a:schemeClr val="dk1"/>
              </a:solidFill>
              <a:effectLst/>
              <a:latin typeface="+mn-lt"/>
              <a:ea typeface="+mn-ea"/>
              <a:cs typeface="+mn-cs"/>
            </a:rPr>
            <a:t>fliken "Resultat". F</a:t>
          </a:r>
          <a:r>
            <a:rPr lang="sv-SE" sz="1100" baseline="0">
              <a:solidFill>
                <a:schemeClr val="dk1"/>
              </a:solidFill>
              <a:effectLst/>
              <a:latin typeface="+mn-lt"/>
              <a:ea typeface="+mn-ea"/>
              <a:cs typeface="+mn-cs"/>
            </a:rPr>
            <a:t>ördjupad information finns i flikarna</a:t>
          </a:r>
          <a:r>
            <a:rPr lang="sv-SE" sz="1100">
              <a:solidFill>
                <a:schemeClr val="dk1"/>
              </a:solidFill>
              <a:effectLst/>
              <a:latin typeface="+mn-lt"/>
              <a:ea typeface="+mn-ea"/>
              <a:cs typeface="+mn-cs"/>
            </a:rPr>
            <a:t> "Cykel" och "Bil grundtal".</a:t>
          </a:r>
          <a:endParaRPr lang="sv-SE" sz="1100" b="0"/>
        </a:p>
      </xdr:txBody>
    </xdr:sp>
    <xdr:clientData/>
  </xdr:oneCellAnchor>
  <xdr:twoCellAnchor>
    <xdr:from>
      <xdr:col>14</xdr:col>
      <xdr:colOff>366501</xdr:colOff>
      <xdr:row>43</xdr:row>
      <xdr:rowOff>30597</xdr:rowOff>
    </xdr:from>
    <xdr:to>
      <xdr:col>15</xdr:col>
      <xdr:colOff>548643</xdr:colOff>
      <xdr:row>45</xdr:row>
      <xdr:rowOff>141410</xdr:rowOff>
    </xdr:to>
    <xdr:sp macro="" textlink="">
      <xdr:nvSpPr>
        <xdr:cNvPr id="33" name="Ned 32">
          <a:extLst>
            <a:ext uri="{FF2B5EF4-FFF2-40B4-BE49-F238E27FC236}">
              <a16:creationId xmlns:a16="http://schemas.microsoft.com/office/drawing/2014/main" id="{00000000-0008-0000-0000-000021000000}"/>
            </a:ext>
          </a:extLst>
        </xdr:cNvPr>
        <xdr:cNvSpPr/>
      </xdr:nvSpPr>
      <xdr:spPr>
        <a:xfrm rot="16200000">
          <a:off x="10007175" y="7473963"/>
          <a:ext cx="476573" cy="875562"/>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100"/>
            <a:t>NEJ</a:t>
          </a:r>
        </a:p>
      </xdr:txBody>
    </xdr:sp>
    <xdr:clientData/>
  </xdr:twoCellAnchor>
  <xdr:oneCellAnchor>
    <xdr:from>
      <xdr:col>10</xdr:col>
      <xdr:colOff>533400</xdr:colOff>
      <xdr:row>47</xdr:row>
      <xdr:rowOff>62866</xdr:rowOff>
    </xdr:from>
    <xdr:ext cx="2247900" cy="781240"/>
    <xdr:sp macro="" textlink="">
      <xdr:nvSpPr>
        <xdr:cNvPr id="34" name="textruta 33">
          <a:extLst>
            <a:ext uri="{FF2B5EF4-FFF2-40B4-BE49-F238E27FC236}">
              <a16:creationId xmlns:a16="http://schemas.microsoft.com/office/drawing/2014/main" id="{00000000-0008-0000-0000-000022000000}"/>
            </a:ext>
          </a:extLst>
        </xdr:cNvPr>
        <xdr:cNvSpPr txBox="1"/>
      </xdr:nvSpPr>
      <xdr:spPr>
        <a:xfrm>
          <a:off x="7536180" y="8437246"/>
          <a:ext cx="2247900" cy="78124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1100"/>
            <a:t>Avläs</a:t>
          </a:r>
          <a:r>
            <a:rPr lang="sv-SE" sz="1100" baseline="0"/>
            <a:t> resultaten i de gröna cellerna under fliken "Resultat". Fördjupad information finns under "Red samnyttjande ALLA".</a:t>
          </a:r>
          <a:endParaRPr lang="sv-SE" sz="1100"/>
        </a:p>
      </xdr:txBody>
    </xdr:sp>
    <xdr:clientData/>
  </xdr:oneCellAnchor>
  <xdr:oneCellAnchor>
    <xdr:from>
      <xdr:col>15</xdr:col>
      <xdr:colOff>588645</xdr:colOff>
      <xdr:row>43</xdr:row>
      <xdr:rowOff>60961</xdr:rowOff>
    </xdr:from>
    <xdr:ext cx="2247900" cy="953466"/>
    <xdr:sp macro="" textlink="">
      <xdr:nvSpPr>
        <xdr:cNvPr id="35" name="textruta 34">
          <a:extLst>
            <a:ext uri="{FF2B5EF4-FFF2-40B4-BE49-F238E27FC236}">
              <a16:creationId xmlns:a16="http://schemas.microsoft.com/office/drawing/2014/main" id="{00000000-0008-0000-0000-000023000000}"/>
            </a:ext>
          </a:extLst>
        </xdr:cNvPr>
        <xdr:cNvSpPr txBox="1"/>
      </xdr:nvSpPr>
      <xdr:spPr>
        <a:xfrm>
          <a:off x="10723245" y="7703821"/>
          <a:ext cx="2247900" cy="9534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t>Fyll i antalet parkeringsplatser som ska samnyttjas för</a:t>
          </a:r>
          <a:r>
            <a:rPr lang="sv-SE" sz="1100" baseline="0"/>
            <a:t> varje typ av verksamhet i de orange cellerna under fliken "Red samnyttjande DELVIS".</a:t>
          </a:r>
          <a:endParaRPr lang="sv-SE" sz="1100"/>
        </a:p>
      </xdr:txBody>
    </xdr:sp>
    <xdr:clientData/>
  </xdr:oneCellAnchor>
  <xdr:twoCellAnchor>
    <xdr:from>
      <xdr:col>17</xdr:col>
      <xdr:colOff>390526</xdr:colOff>
      <xdr:row>48</xdr:row>
      <xdr:rowOff>100967</xdr:rowOff>
    </xdr:from>
    <xdr:to>
      <xdr:col>17</xdr:col>
      <xdr:colOff>560070</xdr:colOff>
      <xdr:row>50</xdr:row>
      <xdr:rowOff>43817</xdr:rowOff>
    </xdr:to>
    <xdr:sp macro="" textlink="">
      <xdr:nvSpPr>
        <xdr:cNvPr id="36" name="Ned 35">
          <a:extLst>
            <a:ext uri="{FF2B5EF4-FFF2-40B4-BE49-F238E27FC236}">
              <a16:creationId xmlns:a16="http://schemas.microsoft.com/office/drawing/2014/main" id="{00000000-0008-0000-0000-000024000000}"/>
            </a:ext>
          </a:extLst>
        </xdr:cNvPr>
        <xdr:cNvSpPr/>
      </xdr:nvSpPr>
      <xdr:spPr>
        <a:xfrm>
          <a:off x="11744326" y="8658227"/>
          <a:ext cx="169544" cy="3086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15</xdr:col>
      <xdr:colOff>579121</xdr:colOff>
      <xdr:row>50</xdr:row>
      <xdr:rowOff>68581</xdr:rowOff>
    </xdr:from>
    <xdr:ext cx="2286000" cy="781240"/>
    <xdr:sp macro="" textlink="">
      <xdr:nvSpPr>
        <xdr:cNvPr id="37" name="textruta 36">
          <a:extLst>
            <a:ext uri="{FF2B5EF4-FFF2-40B4-BE49-F238E27FC236}">
              <a16:creationId xmlns:a16="http://schemas.microsoft.com/office/drawing/2014/main" id="{00000000-0008-0000-0000-000025000000}"/>
            </a:ext>
          </a:extLst>
        </xdr:cNvPr>
        <xdr:cNvSpPr txBox="1"/>
      </xdr:nvSpPr>
      <xdr:spPr>
        <a:xfrm>
          <a:off x="10713721" y="8991601"/>
          <a:ext cx="2286000" cy="78124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pPr eaLnBrk="1" fontAlgn="auto" latinLnBrk="0" hangingPunct="1"/>
          <a:r>
            <a:rPr lang="sv-SE" sz="1100"/>
            <a:t>Avläs resultaten i de gröna cellerna</a:t>
          </a:r>
          <a:r>
            <a:rPr lang="sv-SE" sz="1100" baseline="0"/>
            <a:t> </a:t>
          </a:r>
          <a:r>
            <a:rPr lang="sv-SE" sz="1100">
              <a:solidFill>
                <a:schemeClr val="dk1"/>
              </a:solidFill>
              <a:effectLst/>
              <a:latin typeface="+mn-lt"/>
              <a:ea typeface="+mn-ea"/>
              <a:cs typeface="+mn-cs"/>
            </a:rPr>
            <a:t>under fliken "Red samnyttjande DELVIS". Denna information saknas i </a:t>
          </a:r>
          <a:r>
            <a:rPr lang="sv-SE" sz="1100" baseline="0">
              <a:solidFill>
                <a:schemeClr val="dk1"/>
              </a:solidFill>
              <a:effectLst/>
              <a:latin typeface="+mn-lt"/>
              <a:ea typeface="+mn-ea"/>
              <a:cs typeface="+mn-cs"/>
            </a:rPr>
            <a:t>samlingsfliken "Resultat".</a:t>
          </a:r>
          <a:endParaRPr lang="sv-SE">
            <a:effectLst/>
          </a:endParaRPr>
        </a:p>
      </xdr:txBody>
    </xdr:sp>
    <xdr:clientData/>
  </xdr:oneCellAnchor>
  <xdr:oneCellAnchor>
    <xdr:from>
      <xdr:col>0</xdr:col>
      <xdr:colOff>381000</xdr:colOff>
      <xdr:row>21</xdr:row>
      <xdr:rowOff>114300</xdr:rowOff>
    </xdr:from>
    <xdr:ext cx="8647495" cy="436786"/>
    <xdr:sp macro="" textlink="">
      <xdr:nvSpPr>
        <xdr:cNvPr id="38" name="textruta 37">
          <a:extLst>
            <a:ext uri="{FF2B5EF4-FFF2-40B4-BE49-F238E27FC236}">
              <a16:creationId xmlns:a16="http://schemas.microsoft.com/office/drawing/2014/main" id="{00000000-0008-0000-0000-000026000000}"/>
            </a:ext>
          </a:extLst>
        </xdr:cNvPr>
        <xdr:cNvSpPr txBox="1"/>
      </xdr:nvSpPr>
      <xdr:spPr>
        <a:xfrm>
          <a:off x="381000" y="3333750"/>
          <a:ext cx="8647495" cy="4367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lang="sv-SE" sz="1100"/>
            <a:t>Ställ in bredden på excelfönstret på din skärm så att det blir så brett som möjligt.  På denna introduktionssida behöver du minst</a:t>
          </a:r>
          <a:r>
            <a:rPr lang="sv-SE" sz="1100" baseline="0"/>
            <a:t> se kolumn N för att </a:t>
          </a:r>
        </a:p>
        <a:p>
          <a:r>
            <a:rPr lang="sv-SE" sz="1100" baseline="0"/>
            <a:t>kunna se all information på kommande flikar. Annars, var beredd att scrolla i sidled för att inte missa resultaten.</a:t>
          </a:r>
        </a:p>
      </xdr:txBody>
    </xdr:sp>
    <xdr:clientData/>
  </xdr:oneCellAnchor>
  <xdr:twoCellAnchor>
    <xdr:from>
      <xdr:col>0</xdr:col>
      <xdr:colOff>1392555</xdr:colOff>
      <xdr:row>23</xdr:row>
      <xdr:rowOff>114299</xdr:rowOff>
    </xdr:from>
    <xdr:to>
      <xdr:col>1</xdr:col>
      <xdr:colOff>66675</xdr:colOff>
      <xdr:row>25</xdr:row>
      <xdr:rowOff>28574</xdr:rowOff>
    </xdr:to>
    <xdr:sp macro="" textlink="">
      <xdr:nvSpPr>
        <xdr:cNvPr id="39" name="Ned 38">
          <a:extLst>
            <a:ext uri="{FF2B5EF4-FFF2-40B4-BE49-F238E27FC236}">
              <a16:creationId xmlns:a16="http://schemas.microsoft.com/office/drawing/2014/main" id="{00000000-0008-0000-0000-000027000000}"/>
            </a:ext>
          </a:extLst>
        </xdr:cNvPr>
        <xdr:cNvSpPr/>
      </xdr:nvSpPr>
      <xdr:spPr>
        <a:xfrm>
          <a:off x="1392555" y="3790949"/>
          <a:ext cx="150495" cy="3333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editAs="oneCell">
    <xdr:from>
      <xdr:col>0</xdr:col>
      <xdr:colOff>0</xdr:colOff>
      <xdr:row>0</xdr:row>
      <xdr:rowOff>22860</xdr:rowOff>
    </xdr:from>
    <xdr:to>
      <xdr:col>0</xdr:col>
      <xdr:colOff>815340</xdr:colOff>
      <xdr:row>2</xdr:row>
      <xdr:rowOff>182880</xdr:rowOff>
    </xdr:to>
    <xdr:pic>
      <xdr:nvPicPr>
        <xdr:cNvPr id="41" name="Bild 55" descr="nytt stadsvapen för A4">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twoCellAnchor>
    <xdr:from>
      <xdr:col>4</xdr:col>
      <xdr:colOff>466725</xdr:colOff>
      <xdr:row>3</xdr:row>
      <xdr:rowOff>0</xdr:rowOff>
    </xdr:from>
    <xdr:to>
      <xdr:col>13</xdr:col>
      <xdr:colOff>114300</xdr:colOff>
      <xdr:row>18</xdr:row>
      <xdr:rowOff>57150</xdr:rowOff>
    </xdr:to>
    <xdr:grpSp>
      <xdr:nvGrpSpPr>
        <xdr:cNvPr id="14" name="Grupp 13">
          <a:extLst>
            <a:ext uri="{FF2B5EF4-FFF2-40B4-BE49-F238E27FC236}">
              <a16:creationId xmlns:a16="http://schemas.microsoft.com/office/drawing/2014/main" id="{00000000-0008-0000-0000-00000E000000}"/>
            </a:ext>
          </a:extLst>
        </xdr:cNvPr>
        <xdr:cNvGrpSpPr/>
      </xdr:nvGrpSpPr>
      <xdr:grpSpPr>
        <a:xfrm>
          <a:off x="9131300" y="609600"/>
          <a:ext cx="5130800" cy="4432300"/>
          <a:chOff x="9115425" y="200025"/>
          <a:chExt cx="5133975" cy="4429125"/>
        </a:xfrm>
      </xdr:grpSpPr>
      <xdr:sp macro="" textlink="">
        <xdr:nvSpPr>
          <xdr:cNvPr id="13" name="Rektangel 12">
            <a:extLst>
              <a:ext uri="{FF2B5EF4-FFF2-40B4-BE49-F238E27FC236}">
                <a16:creationId xmlns:a16="http://schemas.microsoft.com/office/drawing/2014/main" id="{00000000-0008-0000-0000-00000D000000}"/>
              </a:ext>
            </a:extLst>
          </xdr:cNvPr>
          <xdr:cNvSpPr/>
        </xdr:nvSpPr>
        <xdr:spPr>
          <a:xfrm>
            <a:off x="9115425" y="200025"/>
            <a:ext cx="5133975" cy="44291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100"/>
          </a:p>
        </xdr:txBody>
      </xdr:sp>
      <xdr:sp macro="" textlink="">
        <xdr:nvSpPr>
          <xdr:cNvPr id="40" name="textruta 4">
            <a:extLst>
              <a:ext uri="{FF2B5EF4-FFF2-40B4-BE49-F238E27FC236}">
                <a16:creationId xmlns:a16="http://schemas.microsoft.com/office/drawing/2014/main" id="{00000000-0008-0000-0000-000028000000}"/>
              </a:ext>
            </a:extLst>
          </xdr:cNvPr>
          <xdr:cNvSpPr txBox="1"/>
        </xdr:nvSpPr>
        <xdr:spPr>
          <a:xfrm>
            <a:off x="9258300" y="323850"/>
            <a:ext cx="4776186" cy="280205"/>
          </a:xfrm>
          <a:prstGeom prst="rect">
            <a:avLst/>
          </a:prstGeom>
          <a:ln/>
        </xdr:spPr>
        <xdr:style>
          <a:lnRef idx="2">
            <a:schemeClr val="accent1"/>
          </a:lnRef>
          <a:fillRef idx="1">
            <a:schemeClr val="lt1"/>
          </a:fillRef>
          <a:effectRef idx="0">
            <a:schemeClr val="accent1"/>
          </a:effectRef>
          <a:fontRef idx="minor">
            <a:schemeClr val="dk1"/>
          </a:fontRef>
        </xdr:style>
        <xdr:txBody>
          <a:bodyPr wrap="square" rtlCol="0">
            <a:spAutoFit/>
          </a:bodyPr>
          <a:lstStyle>
            <a:defPPr>
              <a:defRPr lang="sv-SE"/>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sv-SE" sz="1200"/>
              <a:t>Steg 1. Grundtal för efterfrågan på bilparkering avläses i tabell</a:t>
            </a:r>
          </a:p>
        </xdr:txBody>
      </xdr:sp>
      <xdr:sp macro="" textlink="">
        <xdr:nvSpPr>
          <xdr:cNvPr id="42" name="textruta 9">
            <a:extLst>
              <a:ext uri="{FF2B5EF4-FFF2-40B4-BE49-F238E27FC236}">
                <a16:creationId xmlns:a16="http://schemas.microsoft.com/office/drawing/2014/main" id="{00000000-0008-0000-0000-00002A000000}"/>
              </a:ext>
            </a:extLst>
          </xdr:cNvPr>
          <xdr:cNvSpPr txBox="1"/>
        </xdr:nvSpPr>
        <xdr:spPr>
          <a:xfrm>
            <a:off x="9258300" y="1845318"/>
            <a:ext cx="4776187" cy="280205"/>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spAutoFit/>
          </a:bodyPr>
          <a:lstStyle>
            <a:defPPr>
              <a:defRPr lang="sv-SE"/>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sv-SE" sz="1200"/>
              <a:t>Steg 2. Reduktion för bilpool, upp till 20 %</a:t>
            </a:r>
          </a:p>
        </xdr:txBody>
      </xdr:sp>
      <xdr:sp macro="" textlink="">
        <xdr:nvSpPr>
          <xdr:cNvPr id="43" name="textruta 10">
            <a:extLst>
              <a:ext uri="{FF2B5EF4-FFF2-40B4-BE49-F238E27FC236}">
                <a16:creationId xmlns:a16="http://schemas.microsoft.com/office/drawing/2014/main" id="{00000000-0008-0000-0000-00002B000000}"/>
              </a:ext>
            </a:extLst>
          </xdr:cNvPr>
          <xdr:cNvSpPr txBox="1"/>
        </xdr:nvSpPr>
        <xdr:spPr>
          <a:xfrm>
            <a:off x="9258300" y="2221000"/>
            <a:ext cx="4776186" cy="280205"/>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spAutoFit/>
          </a:bodyPr>
          <a:lstStyle>
            <a:defPPr>
              <a:defRPr lang="sv-SE"/>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sv-SE" sz="1200"/>
              <a:t>Steg 3. Reduktion för MM-åtgärder, upp till 10 %</a:t>
            </a:r>
          </a:p>
        </xdr:txBody>
      </xdr:sp>
      <xdr:sp macro="" textlink="">
        <xdr:nvSpPr>
          <xdr:cNvPr id="44" name="textruta 11">
            <a:extLst>
              <a:ext uri="{FF2B5EF4-FFF2-40B4-BE49-F238E27FC236}">
                <a16:creationId xmlns:a16="http://schemas.microsoft.com/office/drawing/2014/main" id="{00000000-0008-0000-0000-00002C000000}"/>
              </a:ext>
            </a:extLst>
          </xdr:cNvPr>
          <xdr:cNvSpPr txBox="1"/>
        </xdr:nvSpPr>
        <xdr:spPr>
          <a:xfrm>
            <a:off x="9267825" y="2612545"/>
            <a:ext cx="4776186" cy="280205"/>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spAutoFit/>
          </a:bodyPr>
          <a:lstStyle>
            <a:defPPr>
              <a:defRPr lang="sv-SE"/>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sv-SE" sz="1200"/>
              <a:t>Steg 4. Reduktion för samnyttjande, beräknas från tabell</a:t>
            </a:r>
          </a:p>
        </xdr:txBody>
      </xdr:sp>
      <xdr:sp macro="" textlink="">
        <xdr:nvSpPr>
          <xdr:cNvPr id="45" name="textruta 12">
            <a:extLst>
              <a:ext uri="{FF2B5EF4-FFF2-40B4-BE49-F238E27FC236}">
                <a16:creationId xmlns:a16="http://schemas.microsoft.com/office/drawing/2014/main" id="{00000000-0008-0000-0000-00002D000000}"/>
              </a:ext>
            </a:extLst>
          </xdr:cNvPr>
          <xdr:cNvSpPr txBox="1"/>
        </xdr:nvSpPr>
        <xdr:spPr>
          <a:xfrm>
            <a:off x="9258300" y="4216705"/>
            <a:ext cx="4776187" cy="280205"/>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spAutoFit/>
          </a:bodyPr>
          <a:lstStyle>
            <a:defPPr>
              <a:defRPr lang="sv-SE"/>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sv-SE" sz="1200"/>
              <a:t>Steg 5. Reservplan för parkering</a:t>
            </a:r>
          </a:p>
        </xdr:txBody>
      </xdr:sp>
      <xdr:sp macro="" textlink="">
        <xdr:nvSpPr>
          <xdr:cNvPr id="46" name="textruta 5">
            <a:extLst>
              <a:ext uri="{FF2B5EF4-FFF2-40B4-BE49-F238E27FC236}">
                <a16:creationId xmlns:a16="http://schemas.microsoft.com/office/drawing/2014/main" id="{00000000-0008-0000-0000-00002E000000}"/>
              </a:ext>
            </a:extLst>
          </xdr:cNvPr>
          <xdr:cNvSpPr txBox="1"/>
        </xdr:nvSpPr>
        <xdr:spPr>
          <a:xfrm>
            <a:off x="10699161" y="3404652"/>
            <a:ext cx="2226187" cy="280205"/>
          </a:xfrm>
          <a:prstGeom prst="rect">
            <a:avLst/>
          </a:prstGeom>
          <a:noFill/>
        </xdr:spPr>
        <xdr:txBody>
          <a:bodyPr wrap="square" rtlCol="0">
            <a:spAutoFit/>
          </a:bodyPr>
          <a:lstStyle>
            <a:defPPr>
              <a:defRPr lang="sv-SE"/>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sv-SE" sz="1200" b="1"/>
              <a:t>Anpassad efterfrågan</a:t>
            </a:r>
          </a:p>
        </xdr:txBody>
      </xdr:sp>
      <xdr:sp macro="" textlink="">
        <xdr:nvSpPr>
          <xdr:cNvPr id="47" name="Ned 46">
            <a:extLst>
              <a:ext uri="{FF2B5EF4-FFF2-40B4-BE49-F238E27FC236}">
                <a16:creationId xmlns:a16="http://schemas.microsoft.com/office/drawing/2014/main" id="{00000000-0008-0000-0000-00002F000000}"/>
              </a:ext>
            </a:extLst>
          </xdr:cNvPr>
          <xdr:cNvSpPr/>
        </xdr:nvSpPr>
        <xdr:spPr>
          <a:xfrm>
            <a:off x="11486594" y="705238"/>
            <a:ext cx="319596" cy="388144"/>
          </a:xfrm>
          <a:prstGeom prst="downArrow">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sv-SE"/>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sv-SE" sz="1200"/>
          </a:p>
        </xdr:txBody>
      </xdr:sp>
      <xdr:sp macro="" textlink="">
        <xdr:nvSpPr>
          <xdr:cNvPr id="48" name="textruta 15">
            <a:extLst>
              <a:ext uri="{FF2B5EF4-FFF2-40B4-BE49-F238E27FC236}">
                <a16:creationId xmlns:a16="http://schemas.microsoft.com/office/drawing/2014/main" id="{00000000-0008-0000-0000-000030000000}"/>
              </a:ext>
            </a:extLst>
          </xdr:cNvPr>
          <xdr:cNvSpPr txBox="1"/>
        </xdr:nvSpPr>
        <xdr:spPr>
          <a:xfrm>
            <a:off x="10691288" y="1102907"/>
            <a:ext cx="2272160" cy="280205"/>
          </a:xfrm>
          <a:prstGeom prst="rect">
            <a:avLst/>
          </a:prstGeom>
          <a:noFill/>
        </xdr:spPr>
        <xdr:txBody>
          <a:bodyPr wrap="square" rtlCol="0">
            <a:spAutoFit/>
          </a:bodyPr>
          <a:lstStyle>
            <a:defPPr>
              <a:defRPr lang="sv-SE"/>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sv-SE" sz="1200" b="1"/>
              <a:t>Förväntad efterfrågan</a:t>
            </a:r>
          </a:p>
        </xdr:txBody>
      </xdr:sp>
      <xdr:sp macro="" textlink="">
        <xdr:nvSpPr>
          <xdr:cNvPr id="49" name="Ned 48">
            <a:extLst>
              <a:ext uri="{FF2B5EF4-FFF2-40B4-BE49-F238E27FC236}">
                <a16:creationId xmlns:a16="http://schemas.microsoft.com/office/drawing/2014/main" id="{00000000-0008-0000-0000-000031000000}"/>
              </a:ext>
            </a:extLst>
          </xdr:cNvPr>
          <xdr:cNvSpPr/>
        </xdr:nvSpPr>
        <xdr:spPr>
          <a:xfrm>
            <a:off x="11486595" y="1396325"/>
            <a:ext cx="319596" cy="388144"/>
          </a:xfrm>
          <a:prstGeom prst="downArrow">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sv-SE"/>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sv-SE" sz="1200"/>
          </a:p>
        </xdr:txBody>
      </xdr:sp>
      <xdr:sp macro="" textlink="">
        <xdr:nvSpPr>
          <xdr:cNvPr id="50" name="Ned 49">
            <a:extLst>
              <a:ext uri="{FF2B5EF4-FFF2-40B4-BE49-F238E27FC236}">
                <a16:creationId xmlns:a16="http://schemas.microsoft.com/office/drawing/2014/main" id="{00000000-0008-0000-0000-000032000000}"/>
              </a:ext>
            </a:extLst>
          </xdr:cNvPr>
          <xdr:cNvSpPr/>
        </xdr:nvSpPr>
        <xdr:spPr>
          <a:xfrm>
            <a:off x="11486595" y="2977937"/>
            <a:ext cx="319596" cy="388144"/>
          </a:xfrm>
          <a:prstGeom prst="downArrow">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sv-SE"/>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sv-SE" sz="1200"/>
          </a:p>
        </xdr:txBody>
      </xdr:sp>
      <xdr:sp macro="" textlink="">
        <xdr:nvSpPr>
          <xdr:cNvPr id="51" name="Ned 50">
            <a:extLst>
              <a:ext uri="{FF2B5EF4-FFF2-40B4-BE49-F238E27FC236}">
                <a16:creationId xmlns:a16="http://schemas.microsoft.com/office/drawing/2014/main" id="{00000000-0008-0000-0000-000033000000}"/>
              </a:ext>
            </a:extLst>
          </xdr:cNvPr>
          <xdr:cNvSpPr/>
        </xdr:nvSpPr>
        <xdr:spPr>
          <a:xfrm>
            <a:off x="11496119" y="3716834"/>
            <a:ext cx="319596" cy="388144"/>
          </a:xfrm>
          <a:prstGeom prst="downArrow">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sv-SE"/>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sv-SE" sz="1200"/>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142874</xdr:colOff>
      <xdr:row>9</xdr:row>
      <xdr:rowOff>180975</xdr:rowOff>
    </xdr:from>
    <xdr:ext cx="11858625" cy="1285875"/>
    <xdr:sp macro="" textlink="">
      <xdr:nvSpPr>
        <xdr:cNvPr id="2" name="textruta 1">
          <a:extLst>
            <a:ext uri="{FF2B5EF4-FFF2-40B4-BE49-F238E27FC236}">
              <a16:creationId xmlns:a16="http://schemas.microsoft.com/office/drawing/2014/main" id="{00000000-0008-0000-0900-000002000000}"/>
            </a:ext>
          </a:extLst>
        </xdr:cNvPr>
        <xdr:cNvSpPr txBox="1"/>
      </xdr:nvSpPr>
      <xdr:spPr>
        <a:xfrm>
          <a:off x="142874" y="1362075"/>
          <a:ext cx="11858625" cy="12858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indent="0"/>
          <a:r>
            <a:rPr lang="sv-SE" sz="1100">
              <a:solidFill>
                <a:schemeClr val="dk1"/>
              </a:solidFill>
              <a:effectLst/>
              <a:latin typeface="+mn-lt"/>
              <a:ea typeface="+mn-ea"/>
              <a:cs typeface="+mn-cs"/>
            </a:rPr>
            <a:t>Reduktion för samnyttjande</a:t>
          </a:r>
          <a:r>
            <a:rPr lang="sv-SE" sz="1100" baseline="0">
              <a:solidFill>
                <a:schemeClr val="dk1"/>
              </a:solidFill>
              <a:effectLst/>
              <a:latin typeface="+mn-lt"/>
              <a:ea typeface="+mn-ea"/>
              <a:cs typeface="+mn-cs"/>
            </a:rPr>
            <a:t> får ges för den parkering som fastighetsägaren avser ordna  på den egna fastigheten. Samnyttjande förutsätter att det är flera olika typer av lokaler/funktioner som delar på platserna i en gemensam parkeringsanläggning. Bostäder och kontor kan exempelvis samnyttja platser, liksom bostäder kan samnyttja med en skola. Ju fler olika typer av lokaler/funktioner som deltar i samnyttjandet, desto större är sannolikheten att det kommer att fungera bra. Reduktion för samnyttjande  får INTE göras mellan verksamheter som har liknande parkeringsefterfrågan, som t ex handel och restauranger. Reduktion får samnyttjande får INTE heller göras om fastigheten bara innehåller en enda typ av bebyggelse, t ex enbart bostäder eller enbart kontor.</a:t>
          </a:r>
        </a:p>
        <a:p>
          <a:pPr marL="0" indent="0"/>
          <a:endParaRPr lang="sv-SE" sz="1100" baseline="0">
            <a:solidFill>
              <a:schemeClr val="dk1"/>
            </a:solidFill>
            <a:effectLst/>
            <a:latin typeface="+mn-lt"/>
            <a:ea typeface="+mn-ea"/>
            <a:cs typeface="+mn-cs"/>
          </a:endParaRPr>
        </a:p>
        <a:p>
          <a:pPr marL="0" indent="0"/>
          <a:r>
            <a:rPr lang="sv-SE" sz="1100" baseline="0">
              <a:solidFill>
                <a:schemeClr val="dk1"/>
              </a:solidFill>
              <a:effectLst/>
              <a:latin typeface="+mn-lt"/>
              <a:ea typeface="+mn-ea"/>
              <a:cs typeface="+mn-cs"/>
            </a:rPr>
            <a:t>Denna flik beräknar samnyttjandet när EN DEL av parkeringsefterfrågan löses på den egna fastigheten samtidigt som parkeringsköp görs för resten av parkeringsefterfrågan. Om ALL parkering ska lösas på den egna fastigheten, använd resultaten i föregående flik istället!</a:t>
          </a:r>
          <a:endParaRPr lang="sv-SE" sz="1100">
            <a:solidFill>
              <a:schemeClr val="dk1"/>
            </a:solidFill>
            <a:effectLst/>
            <a:latin typeface="+mn-lt"/>
            <a:ea typeface="+mn-ea"/>
            <a:cs typeface="+mn-cs"/>
          </a:endParaRPr>
        </a:p>
      </xdr:txBody>
    </xdr:sp>
    <xdr:clientData/>
  </xdr:oneCellAnchor>
  <xdr:oneCellAnchor>
    <xdr:from>
      <xdr:col>7</xdr:col>
      <xdr:colOff>19050</xdr:colOff>
      <xdr:row>45</xdr:row>
      <xdr:rowOff>161925</xdr:rowOff>
    </xdr:from>
    <xdr:ext cx="6172200" cy="2675732"/>
    <xdr:sp macro="" textlink="">
      <xdr:nvSpPr>
        <xdr:cNvPr id="3" name="textruta 2">
          <a:extLst>
            <a:ext uri="{FF2B5EF4-FFF2-40B4-BE49-F238E27FC236}">
              <a16:creationId xmlns:a16="http://schemas.microsoft.com/office/drawing/2014/main" id="{00000000-0008-0000-0900-000003000000}"/>
            </a:ext>
          </a:extLst>
        </xdr:cNvPr>
        <xdr:cNvSpPr txBox="1"/>
      </xdr:nvSpPr>
      <xdr:spPr>
        <a:xfrm>
          <a:off x="6619875" y="3057525"/>
          <a:ext cx="6172200" cy="267573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marL="0" indent="0"/>
          <a:r>
            <a:rPr lang="sv-SE" sz="1100">
              <a:solidFill>
                <a:schemeClr val="dk1"/>
              </a:solidFill>
              <a:effectLst/>
              <a:latin typeface="+mn-lt"/>
              <a:ea typeface="+mn-ea"/>
              <a:cs typeface="+mn-cs"/>
            </a:rPr>
            <a:t>Potentialen för samnyttjande beräknas för fyra olika</a:t>
          </a:r>
          <a:r>
            <a:rPr lang="sv-SE" sz="1100" baseline="0">
              <a:solidFill>
                <a:schemeClr val="dk1"/>
              </a:solidFill>
              <a:effectLst/>
              <a:latin typeface="+mn-lt"/>
              <a:ea typeface="+mn-ea"/>
              <a:cs typeface="+mn-cs"/>
            </a:rPr>
            <a:t> tidsintervall. Den tid på veckan/dygnet när den totala parkeringsefterfrågan är som högst, blir dimensionerande.</a:t>
          </a:r>
        </a:p>
        <a:p>
          <a:pPr marL="0" indent="0"/>
          <a:endParaRPr lang="sv-SE" sz="1100" baseline="0">
            <a:solidFill>
              <a:schemeClr val="dk1"/>
            </a:solidFill>
            <a:effectLst/>
            <a:latin typeface="+mn-lt"/>
            <a:ea typeface="+mn-ea"/>
            <a:cs typeface="+mn-cs"/>
          </a:endParaRPr>
        </a:p>
        <a:p>
          <a:pPr marL="0" indent="0"/>
          <a:r>
            <a:rPr lang="sv-SE" sz="1100" baseline="0">
              <a:solidFill>
                <a:schemeClr val="dk1"/>
              </a:solidFill>
              <a:effectLst/>
              <a:latin typeface="+mn-lt"/>
              <a:ea typeface="+mn-ea"/>
              <a:cs typeface="+mn-cs"/>
            </a:rPr>
            <a:t>Underlagstabellen visar utnyttjandegraden för respektive typ av verksamhet under de olika tidsintervallen. Exempelvis används typiskt sett 70 % av parkeringsplatserna vid ett kontor under dagtid vardagar, medan endast 20 % av parkeringsplatserna för samma kontor är upptagna på lördag förmiddag.</a:t>
          </a:r>
        </a:p>
        <a:p>
          <a:pPr marL="0" indent="0"/>
          <a:endParaRPr lang="sv-SE" sz="1100" baseline="0">
            <a:solidFill>
              <a:schemeClr val="dk1"/>
            </a:solidFill>
            <a:effectLst/>
            <a:latin typeface="+mn-lt"/>
            <a:ea typeface="+mn-ea"/>
            <a:cs typeface="+mn-cs"/>
          </a:endParaRPr>
        </a:p>
        <a:p>
          <a:pPr marL="0" indent="0"/>
          <a:r>
            <a:rPr lang="sv-SE" sz="1100" baseline="0">
              <a:solidFill>
                <a:schemeClr val="dk1"/>
              </a:solidFill>
              <a:effectLst/>
              <a:latin typeface="+mn-lt"/>
              <a:ea typeface="+mn-ea"/>
              <a:cs typeface="+mn-cs"/>
            </a:rPr>
            <a:t>Förutsättningar för att samnyttjandet ska fungera är:</a:t>
          </a:r>
        </a:p>
        <a:p>
          <a:pPr marL="0" indent="0"/>
          <a:r>
            <a:rPr lang="sv-SE" sz="1100" baseline="0">
              <a:solidFill>
                <a:schemeClr val="dk1"/>
              </a:solidFill>
              <a:effectLst/>
              <a:latin typeface="+mn-lt"/>
              <a:ea typeface="+mn-ea"/>
              <a:cs typeface="+mn-cs"/>
            </a:rPr>
            <a:t>- att bilplatserna inte är reserverade för något särskilt fordon eller någon användargrupp</a:t>
          </a:r>
        </a:p>
        <a:p>
          <a:pPr marL="0" indent="0"/>
          <a:r>
            <a:rPr lang="sv-SE" sz="1100" baseline="0">
              <a:solidFill>
                <a:schemeClr val="dk1"/>
              </a:solidFill>
              <a:effectLst/>
              <a:latin typeface="+mn-lt"/>
              <a:ea typeface="+mn-ea"/>
              <a:cs typeface="+mn-cs"/>
            </a:rPr>
            <a:t>- att stadens policy för gångavstånd används</a:t>
          </a:r>
        </a:p>
        <a:p>
          <a:pPr marL="0" indent="0"/>
          <a:r>
            <a:rPr lang="sv-SE" sz="1100" baseline="0">
              <a:solidFill>
                <a:schemeClr val="dk1"/>
              </a:solidFill>
              <a:effectLst/>
              <a:latin typeface="+mn-lt"/>
              <a:ea typeface="+mn-ea"/>
              <a:cs typeface="+mn-cs"/>
            </a:rPr>
            <a:t>- att samnyttjandet är varaktigt bestående</a:t>
          </a:r>
        </a:p>
        <a:p>
          <a:pPr marL="0" indent="0"/>
          <a:endParaRPr lang="sv-SE" sz="1100" baseline="0">
            <a:solidFill>
              <a:schemeClr val="dk1"/>
            </a:solidFill>
            <a:effectLst/>
            <a:latin typeface="+mn-lt"/>
            <a:ea typeface="+mn-ea"/>
            <a:cs typeface="+mn-cs"/>
          </a:endParaRPr>
        </a:p>
        <a:p>
          <a:pPr marL="0" indent="0"/>
          <a:r>
            <a:rPr lang="sv-SE" sz="1100" baseline="0">
              <a:solidFill>
                <a:schemeClr val="dk1"/>
              </a:solidFill>
              <a:effectLst/>
              <a:latin typeface="+mn-lt"/>
              <a:ea typeface="+mn-ea"/>
              <a:cs typeface="+mn-cs"/>
            </a:rPr>
            <a:t>Om fastighetsägaren önskar reservera platser för verksamma/boende/besökare kan reduktion för samnyttjande alltså inte tillämpas. Undantaget är platser som reserveras för bilpoolsbilar.</a:t>
          </a:r>
        </a:p>
      </xdr:txBody>
    </xdr:sp>
    <xdr:clientData/>
  </xdr:oneCellAnchor>
  <xdr:oneCellAnchor>
    <xdr:from>
      <xdr:col>9</xdr:col>
      <xdr:colOff>114300</xdr:colOff>
      <xdr:row>60</xdr:row>
      <xdr:rowOff>19049</xdr:rowOff>
    </xdr:from>
    <xdr:ext cx="4432013" cy="953466"/>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8448675" y="11715749"/>
          <a:ext cx="4432013" cy="95346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1100"/>
            <a:t>Eftersom platserna ska samnyttjas, och därmed inte får reserveras för någon typ av användare, är det inte längre relevant att skilja på parkeringsefterfrågan för bostäder,</a:t>
          </a:r>
          <a:r>
            <a:rPr lang="sv-SE" sz="1100" baseline="0"/>
            <a:t> </a:t>
          </a:r>
          <a:r>
            <a:rPr lang="sv-SE" sz="1100"/>
            <a:t>olika typer av verksamheter samt besökande. Därför presenteras</a:t>
          </a:r>
          <a:r>
            <a:rPr lang="sv-SE" sz="1100" baseline="0"/>
            <a:t> endast den totala parkeringsefterfrågan för alla platser som ska samnyttjas.</a:t>
          </a:r>
          <a:endParaRPr lang="sv-SE" sz="1100"/>
        </a:p>
      </xdr:txBody>
    </xdr:sp>
    <xdr:clientData/>
  </xdr:oneCellAnchor>
  <xdr:twoCellAnchor>
    <xdr:from>
      <xdr:col>4</xdr:col>
      <xdr:colOff>533400</xdr:colOff>
      <xdr:row>65</xdr:row>
      <xdr:rowOff>104775</xdr:rowOff>
    </xdr:from>
    <xdr:to>
      <xdr:col>9</xdr:col>
      <xdr:colOff>95250</xdr:colOff>
      <xdr:row>69</xdr:row>
      <xdr:rowOff>76295</xdr:rowOff>
    </xdr:to>
    <xdr:cxnSp macro="">
      <xdr:nvCxnSpPr>
        <xdr:cNvPr id="6" name="Vinklad  5">
          <a:extLst>
            <a:ext uri="{FF2B5EF4-FFF2-40B4-BE49-F238E27FC236}">
              <a16:creationId xmlns:a16="http://schemas.microsoft.com/office/drawing/2014/main" id="{00000000-0008-0000-0900-000006000000}"/>
            </a:ext>
          </a:extLst>
        </xdr:cNvPr>
        <xdr:cNvCxnSpPr>
          <a:endCxn id="9" idx="1"/>
        </xdr:cNvCxnSpPr>
      </xdr:nvCxnSpPr>
      <xdr:spPr>
        <a:xfrm>
          <a:off x="5819775" y="12753975"/>
          <a:ext cx="2609850" cy="771620"/>
        </a:xfrm>
        <a:prstGeom prst="bentConnector3">
          <a:avLst>
            <a:gd name="adj1" fmla="val 50000"/>
          </a:avLst>
        </a:prstGeom>
        <a:ln w="25400">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xdr:col>
      <xdr:colOff>464994</xdr:colOff>
      <xdr:row>59</xdr:row>
      <xdr:rowOff>76200</xdr:rowOff>
    </xdr:from>
    <xdr:to>
      <xdr:col>2</xdr:col>
      <xdr:colOff>467591</xdr:colOff>
      <xdr:row>60</xdr:row>
      <xdr:rowOff>8659</xdr:rowOff>
    </xdr:to>
    <xdr:cxnSp macro="">
      <xdr:nvCxnSpPr>
        <xdr:cNvPr id="7" name="Rak 6">
          <a:extLst>
            <a:ext uri="{FF2B5EF4-FFF2-40B4-BE49-F238E27FC236}">
              <a16:creationId xmlns:a16="http://schemas.microsoft.com/office/drawing/2014/main" id="{00000000-0008-0000-0900-000007000000}"/>
            </a:ext>
          </a:extLst>
        </xdr:cNvPr>
        <xdr:cNvCxnSpPr/>
      </xdr:nvCxnSpPr>
      <xdr:spPr>
        <a:xfrm>
          <a:off x="4526108" y="10622973"/>
          <a:ext cx="2597" cy="122959"/>
        </a:xfrm>
        <a:prstGeom prst="line">
          <a:avLst/>
        </a:prstGeom>
        <a:ln w="25400"/>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0</xdr:col>
      <xdr:colOff>0</xdr:colOff>
      <xdr:row>0</xdr:row>
      <xdr:rowOff>22860</xdr:rowOff>
    </xdr:from>
    <xdr:to>
      <xdr:col>0</xdr:col>
      <xdr:colOff>815340</xdr:colOff>
      <xdr:row>3</xdr:row>
      <xdr:rowOff>30480</xdr:rowOff>
    </xdr:to>
    <xdr:pic>
      <xdr:nvPicPr>
        <xdr:cNvPr id="8" name="Bild 55" descr="nytt stadsvapen för A4">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oneCellAnchor>
    <xdr:from>
      <xdr:col>9</xdr:col>
      <xdr:colOff>95250</xdr:colOff>
      <xdr:row>67</xdr:row>
      <xdr:rowOff>104775</xdr:rowOff>
    </xdr:from>
    <xdr:ext cx="4432013" cy="781240"/>
    <xdr:sp macro="" textlink="">
      <xdr:nvSpPr>
        <xdr:cNvPr id="9" name="textruta 8">
          <a:extLst>
            <a:ext uri="{FF2B5EF4-FFF2-40B4-BE49-F238E27FC236}">
              <a16:creationId xmlns:a16="http://schemas.microsoft.com/office/drawing/2014/main" id="{00000000-0008-0000-0900-000009000000}"/>
            </a:ext>
          </a:extLst>
        </xdr:cNvPr>
        <xdr:cNvSpPr txBox="1"/>
      </xdr:nvSpPr>
      <xdr:spPr>
        <a:xfrm>
          <a:off x="8429625" y="13134975"/>
          <a:ext cx="4432013" cy="78124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1100"/>
            <a:t>Den här summeringen kan komma att visa</a:t>
          </a:r>
          <a:r>
            <a:rPr lang="sv-SE" sz="1100" baseline="0"/>
            <a:t> någon enstaka plats för mycket jämfört med föregående flikar, beroende på skillnader i avrundningen i kolumn B ovan för de olika typerna av verksamheter som ingår. Vid ev avvikelse är det summeringen i flik "Red MM" som gäller.</a:t>
          </a:r>
          <a:endParaRPr lang="sv-SE" sz="1100"/>
        </a:p>
      </xdr:txBody>
    </xdr:sp>
    <xdr:clientData/>
  </xdr:oneCellAnchor>
  <xdr:twoCellAnchor>
    <xdr:from>
      <xdr:col>2</xdr:col>
      <xdr:colOff>457200</xdr:colOff>
      <xdr:row>59</xdr:row>
      <xdr:rowOff>85725</xdr:rowOff>
    </xdr:from>
    <xdr:to>
      <xdr:col>9</xdr:col>
      <xdr:colOff>114300</xdr:colOff>
      <xdr:row>62</xdr:row>
      <xdr:rowOff>114782</xdr:rowOff>
    </xdr:to>
    <xdr:cxnSp macro="">
      <xdr:nvCxnSpPr>
        <xdr:cNvPr id="12" name="Vinklad  11">
          <a:extLst>
            <a:ext uri="{FF2B5EF4-FFF2-40B4-BE49-F238E27FC236}">
              <a16:creationId xmlns:a16="http://schemas.microsoft.com/office/drawing/2014/main" id="{00000000-0008-0000-0900-00000C000000}"/>
            </a:ext>
          </a:extLst>
        </xdr:cNvPr>
        <xdr:cNvCxnSpPr>
          <a:endCxn id="4" idx="1"/>
        </xdr:cNvCxnSpPr>
      </xdr:nvCxnSpPr>
      <xdr:spPr>
        <a:xfrm>
          <a:off x="4524375" y="11591925"/>
          <a:ext cx="3924300" cy="600557"/>
        </a:xfrm>
        <a:prstGeom prst="bentConnector3">
          <a:avLst>
            <a:gd name="adj1" fmla="val 90534"/>
          </a:avLst>
        </a:prstGeom>
        <a:ln w="25400">
          <a:tailEnd type="arrow"/>
        </a:ln>
      </xdr:spPr>
      <xdr:style>
        <a:lnRef idx="1">
          <a:schemeClr val="accent3"/>
        </a:lnRef>
        <a:fillRef idx="0">
          <a:schemeClr val="accent3"/>
        </a:fillRef>
        <a:effectRef idx="0">
          <a:schemeClr val="accent3"/>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815340</xdr:colOff>
      <xdr:row>3</xdr:row>
      <xdr:rowOff>33655</xdr:rowOff>
    </xdr:to>
    <xdr:pic>
      <xdr:nvPicPr>
        <xdr:cNvPr id="2" name="Bild 55" descr="nytt stadsvapen för A4">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815340</xdr:colOff>
      <xdr:row>3</xdr:row>
      <xdr:rowOff>30480</xdr:rowOff>
    </xdr:to>
    <xdr:pic>
      <xdr:nvPicPr>
        <xdr:cNvPr id="2" name="Bild 55" descr="nytt stadsvapen för A4">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815340</xdr:colOff>
      <xdr:row>3</xdr:row>
      <xdr:rowOff>30480</xdr:rowOff>
    </xdr:to>
    <xdr:pic>
      <xdr:nvPicPr>
        <xdr:cNvPr id="3" name="Bild 55" descr="nytt stadsvapen för A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400050</xdr:colOff>
      <xdr:row>20</xdr:row>
      <xdr:rowOff>180975</xdr:rowOff>
    </xdr:from>
    <xdr:ext cx="4343400" cy="609013"/>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8458200" y="4257675"/>
          <a:ext cx="43434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Zonindelning i Västerås stad. Siffrorna representerar</a:t>
          </a:r>
          <a:r>
            <a:rPr lang="sv-SE" sz="1100" baseline="0"/>
            <a:t> respektive zon. Zon 3 är enbart stadsdelscentrumet och inte omgivande stadsdel (zon 4). Tillberga och Skultuna ingår också i zon 4.</a:t>
          </a:r>
          <a:endParaRPr lang="sv-SE" sz="1100"/>
        </a:p>
      </xdr:txBody>
    </xdr:sp>
    <xdr:clientData/>
  </xdr:oneCellAnchor>
  <xdr:twoCellAnchor editAs="oneCell">
    <xdr:from>
      <xdr:col>9</xdr:col>
      <xdr:colOff>476902</xdr:colOff>
      <xdr:row>3</xdr:row>
      <xdr:rowOff>45720</xdr:rowOff>
    </xdr:from>
    <xdr:to>
      <xdr:col>15</xdr:col>
      <xdr:colOff>205740</xdr:colOff>
      <xdr:row>21</xdr:row>
      <xdr:rowOff>30480</xdr:rowOff>
    </xdr:to>
    <xdr:pic>
      <xdr:nvPicPr>
        <xdr:cNvPr id="8" name="Bildobjekt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9842" y="594360"/>
          <a:ext cx="3386438" cy="3558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22860</xdr:rowOff>
    </xdr:from>
    <xdr:to>
      <xdr:col>0</xdr:col>
      <xdr:colOff>815340</xdr:colOff>
      <xdr:row>3</xdr:row>
      <xdr:rowOff>30480</xdr:rowOff>
    </xdr:to>
    <xdr:pic>
      <xdr:nvPicPr>
        <xdr:cNvPr id="7" name="Bild 55" descr="nytt stadsvapen för A4">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815340</xdr:colOff>
      <xdr:row>3</xdr:row>
      <xdr:rowOff>30480</xdr:rowOff>
    </xdr:to>
    <xdr:pic>
      <xdr:nvPicPr>
        <xdr:cNvPr id="3" name="Bild 55" descr="nytt stadsvapen för A4">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476251</xdr:colOff>
      <xdr:row>10</xdr:row>
      <xdr:rowOff>57151</xdr:rowOff>
    </xdr:from>
    <xdr:ext cx="4314824" cy="1470146"/>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7981951" y="1428751"/>
          <a:ext cx="4314824" cy="147014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spAutoFit/>
        </a:bodyPr>
        <a:lstStyle/>
        <a:p>
          <a:r>
            <a:rPr lang="sv-SE" sz="1100"/>
            <a:t>Om både yta och antal lgh har angetts under fliken "förutsättningar" kommer beräkningen  av antalet cykelplatser för bostäder i flerbostadshus att ge flera olika resultat, (1),</a:t>
          </a:r>
          <a:r>
            <a:rPr lang="sv-SE" sz="1100" baseline="0"/>
            <a:t> (2) och (3). </a:t>
          </a:r>
        </a:p>
        <a:p>
          <a:endParaRPr lang="sv-SE" sz="1100" baseline="0"/>
        </a:p>
        <a:p>
          <a:pPr marL="0" marR="0" indent="0" defTabSz="914400" eaLnBrk="1" fontAlgn="auto" latinLnBrk="0" hangingPunct="1">
            <a:lnSpc>
              <a:spcPct val="100000"/>
            </a:lnSpc>
            <a:spcBef>
              <a:spcPts val="0"/>
            </a:spcBef>
            <a:spcAft>
              <a:spcPts val="0"/>
            </a:spcAft>
            <a:buClrTx/>
            <a:buSzTx/>
            <a:buFontTx/>
            <a:buNone/>
            <a:tabLst/>
            <a:defRPr/>
          </a:pPr>
          <a:r>
            <a:rPr lang="sv-SE" sz="1100" baseline="0"/>
            <a:t>Är fördelningen av lägenheter känd så rekommenderas att beräkningarna vid siffra (3) används, då dessa siffror är de mest exakta. </a:t>
          </a:r>
          <a:r>
            <a:rPr lang="sv-SE" sz="1100" baseline="0">
              <a:solidFill>
                <a:schemeClr val="dk1"/>
              </a:solidFill>
              <a:effectLst/>
              <a:latin typeface="+mn-lt"/>
              <a:ea typeface="+mn-ea"/>
              <a:cs typeface="+mn-cs"/>
            </a:rPr>
            <a:t>I andra hand används beräkningarna vid siffra (1) och i sista hand siffra (2).</a:t>
          </a:r>
          <a:endParaRPr lang="sv-SE">
            <a:effectLst/>
          </a:endParaRPr>
        </a:p>
      </xdr:txBody>
    </xdr:sp>
    <xdr:clientData/>
  </xdr:oneCellAnchor>
  <xdr:twoCellAnchor>
    <xdr:from>
      <xdr:col>0</xdr:col>
      <xdr:colOff>3467100</xdr:colOff>
      <xdr:row>11</xdr:row>
      <xdr:rowOff>38100</xdr:rowOff>
    </xdr:from>
    <xdr:to>
      <xdr:col>1</xdr:col>
      <xdr:colOff>238125</xdr:colOff>
      <xdr:row>11</xdr:row>
      <xdr:rowOff>314325</xdr:rowOff>
    </xdr:to>
    <xdr:grpSp>
      <xdr:nvGrpSpPr>
        <xdr:cNvPr id="12" name="Grupp 11">
          <a:extLst>
            <a:ext uri="{FF2B5EF4-FFF2-40B4-BE49-F238E27FC236}">
              <a16:creationId xmlns:a16="http://schemas.microsoft.com/office/drawing/2014/main" id="{00000000-0008-0000-0400-00000C000000}"/>
            </a:ext>
          </a:extLst>
        </xdr:cNvPr>
        <xdr:cNvGrpSpPr/>
      </xdr:nvGrpSpPr>
      <xdr:grpSpPr>
        <a:xfrm>
          <a:off x="3467100" y="2209800"/>
          <a:ext cx="469900" cy="279400"/>
          <a:chOff x="8382000" y="676275"/>
          <a:chExt cx="466725" cy="276225"/>
        </a:xfrm>
      </xdr:grpSpPr>
      <xdr:sp macro="" textlink="">
        <xdr:nvSpPr>
          <xdr:cNvPr id="13" name="Ellips 12">
            <a:extLst>
              <a:ext uri="{FF2B5EF4-FFF2-40B4-BE49-F238E27FC236}">
                <a16:creationId xmlns:a16="http://schemas.microsoft.com/office/drawing/2014/main" id="{00000000-0008-0000-0400-00000D000000}"/>
              </a:ext>
            </a:extLst>
          </xdr:cNvPr>
          <xdr:cNvSpPr/>
        </xdr:nvSpPr>
        <xdr:spPr>
          <a:xfrm>
            <a:off x="8382000" y="676275"/>
            <a:ext cx="27622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100"/>
          </a:p>
        </xdr:txBody>
      </xdr:sp>
      <xdr:sp macro="" textlink="">
        <xdr:nvSpPr>
          <xdr:cNvPr id="14" name="textruta 13">
            <a:extLst>
              <a:ext uri="{FF2B5EF4-FFF2-40B4-BE49-F238E27FC236}">
                <a16:creationId xmlns:a16="http://schemas.microsoft.com/office/drawing/2014/main" id="{00000000-0008-0000-0400-00000E000000}"/>
              </a:ext>
            </a:extLst>
          </xdr:cNvPr>
          <xdr:cNvSpPr txBox="1"/>
        </xdr:nvSpPr>
        <xdr:spPr>
          <a:xfrm>
            <a:off x="8391525" y="676275"/>
            <a:ext cx="457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1</a:t>
            </a:r>
          </a:p>
        </xdr:txBody>
      </xdr:sp>
    </xdr:grpSp>
    <xdr:clientData/>
  </xdr:twoCellAnchor>
  <xdr:twoCellAnchor>
    <xdr:from>
      <xdr:col>0</xdr:col>
      <xdr:colOff>3448050</xdr:colOff>
      <xdr:row>14</xdr:row>
      <xdr:rowOff>219074</xdr:rowOff>
    </xdr:from>
    <xdr:to>
      <xdr:col>1</xdr:col>
      <xdr:colOff>28575</xdr:colOff>
      <xdr:row>15</xdr:row>
      <xdr:rowOff>104775</xdr:rowOff>
    </xdr:to>
    <xdr:sp macro="" textlink="">
      <xdr:nvSpPr>
        <xdr:cNvPr id="16" name="Ellips 15">
          <a:extLst>
            <a:ext uri="{FF2B5EF4-FFF2-40B4-BE49-F238E27FC236}">
              <a16:creationId xmlns:a16="http://schemas.microsoft.com/office/drawing/2014/main" id="{00000000-0008-0000-0400-000010000000}"/>
            </a:ext>
          </a:extLst>
        </xdr:cNvPr>
        <xdr:cNvSpPr/>
      </xdr:nvSpPr>
      <xdr:spPr>
        <a:xfrm>
          <a:off x="3448050" y="2581274"/>
          <a:ext cx="276225" cy="266701"/>
        </a:xfrm>
        <a:prstGeom prst="ellips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100"/>
        </a:p>
      </xdr:txBody>
    </xdr:sp>
    <xdr:clientData/>
  </xdr:twoCellAnchor>
  <xdr:twoCellAnchor>
    <xdr:from>
      <xdr:col>0</xdr:col>
      <xdr:colOff>3467100</xdr:colOff>
      <xdr:row>14</xdr:row>
      <xdr:rowOff>209550</xdr:rowOff>
    </xdr:from>
    <xdr:to>
      <xdr:col>1</xdr:col>
      <xdr:colOff>400050</xdr:colOff>
      <xdr:row>15</xdr:row>
      <xdr:rowOff>171450</xdr:rowOff>
    </xdr:to>
    <xdr:sp macro="" textlink="">
      <xdr:nvSpPr>
        <xdr:cNvPr id="17" name="textruta 16">
          <a:extLst>
            <a:ext uri="{FF2B5EF4-FFF2-40B4-BE49-F238E27FC236}">
              <a16:creationId xmlns:a16="http://schemas.microsoft.com/office/drawing/2014/main" id="{00000000-0008-0000-0400-000011000000}"/>
            </a:ext>
          </a:extLst>
        </xdr:cNvPr>
        <xdr:cNvSpPr txBox="1"/>
      </xdr:nvSpPr>
      <xdr:spPr>
        <a:xfrm>
          <a:off x="3467100" y="2571750"/>
          <a:ext cx="628650"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a:t>2</a:t>
          </a:r>
        </a:p>
      </xdr:txBody>
    </xdr:sp>
    <xdr:clientData/>
  </xdr:twoCellAnchor>
  <xdr:twoCellAnchor>
    <xdr:from>
      <xdr:col>0</xdr:col>
      <xdr:colOff>3448050</xdr:colOff>
      <xdr:row>27</xdr:row>
      <xdr:rowOff>152400</xdr:rowOff>
    </xdr:from>
    <xdr:to>
      <xdr:col>1</xdr:col>
      <xdr:colOff>219075</xdr:colOff>
      <xdr:row>28</xdr:row>
      <xdr:rowOff>47625</xdr:rowOff>
    </xdr:to>
    <xdr:grpSp>
      <xdr:nvGrpSpPr>
        <xdr:cNvPr id="21" name="Grupp 20">
          <a:extLst>
            <a:ext uri="{FF2B5EF4-FFF2-40B4-BE49-F238E27FC236}">
              <a16:creationId xmlns:a16="http://schemas.microsoft.com/office/drawing/2014/main" id="{00000000-0008-0000-0400-000015000000}"/>
            </a:ext>
          </a:extLst>
        </xdr:cNvPr>
        <xdr:cNvGrpSpPr/>
      </xdr:nvGrpSpPr>
      <xdr:grpSpPr>
        <a:xfrm>
          <a:off x="3448050" y="5753100"/>
          <a:ext cx="469900" cy="279400"/>
          <a:chOff x="8382000" y="676275"/>
          <a:chExt cx="466725" cy="276225"/>
        </a:xfrm>
      </xdr:grpSpPr>
      <xdr:sp macro="" textlink="">
        <xdr:nvSpPr>
          <xdr:cNvPr id="22" name="Ellips 21">
            <a:extLst>
              <a:ext uri="{FF2B5EF4-FFF2-40B4-BE49-F238E27FC236}">
                <a16:creationId xmlns:a16="http://schemas.microsoft.com/office/drawing/2014/main" id="{00000000-0008-0000-0400-000016000000}"/>
              </a:ext>
            </a:extLst>
          </xdr:cNvPr>
          <xdr:cNvSpPr/>
        </xdr:nvSpPr>
        <xdr:spPr>
          <a:xfrm>
            <a:off x="8382000" y="676275"/>
            <a:ext cx="27622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100"/>
          </a:p>
        </xdr:txBody>
      </xdr:sp>
      <xdr:sp macro="" textlink="">
        <xdr:nvSpPr>
          <xdr:cNvPr id="23" name="textruta 22">
            <a:extLst>
              <a:ext uri="{FF2B5EF4-FFF2-40B4-BE49-F238E27FC236}">
                <a16:creationId xmlns:a16="http://schemas.microsoft.com/office/drawing/2014/main" id="{00000000-0008-0000-0400-000017000000}"/>
              </a:ext>
            </a:extLst>
          </xdr:cNvPr>
          <xdr:cNvSpPr txBox="1"/>
        </xdr:nvSpPr>
        <xdr:spPr>
          <a:xfrm>
            <a:off x="8391525" y="685800"/>
            <a:ext cx="457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3</a:t>
            </a:r>
          </a:p>
        </xdr:txBody>
      </xdr:sp>
    </xdr:grpSp>
    <xdr:clientData/>
  </xdr:twoCellAnchor>
  <xdr:twoCellAnchor>
    <xdr:from>
      <xdr:col>0</xdr:col>
      <xdr:colOff>3605212</xdr:colOff>
      <xdr:row>10</xdr:row>
      <xdr:rowOff>133351</xdr:rowOff>
    </xdr:from>
    <xdr:to>
      <xdr:col>7</xdr:col>
      <xdr:colOff>495299</xdr:colOff>
      <xdr:row>11</xdr:row>
      <xdr:rowOff>38101</xdr:rowOff>
    </xdr:to>
    <xdr:cxnSp macro="">
      <xdr:nvCxnSpPr>
        <xdr:cNvPr id="4" name="Vinklad  3">
          <a:extLst>
            <a:ext uri="{FF2B5EF4-FFF2-40B4-BE49-F238E27FC236}">
              <a16:creationId xmlns:a16="http://schemas.microsoft.com/office/drawing/2014/main" id="{00000000-0008-0000-0400-000004000000}"/>
            </a:ext>
          </a:extLst>
        </xdr:cNvPr>
        <xdr:cNvCxnSpPr>
          <a:stCxn id="13" idx="0"/>
        </xdr:cNvCxnSpPr>
      </xdr:nvCxnSpPr>
      <xdr:spPr>
        <a:xfrm rot="5400000" flipH="1" flipV="1">
          <a:off x="5660231" y="-550068"/>
          <a:ext cx="133350" cy="42433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3586163</xdr:colOff>
      <xdr:row>13</xdr:row>
      <xdr:rowOff>9526</xdr:rowOff>
    </xdr:from>
    <xdr:to>
      <xdr:col>7</xdr:col>
      <xdr:colOff>476250</xdr:colOff>
      <xdr:row>14</xdr:row>
      <xdr:rowOff>219075</xdr:rowOff>
    </xdr:to>
    <xdr:cxnSp macro="">
      <xdr:nvCxnSpPr>
        <xdr:cNvPr id="19" name="Vinklad  18">
          <a:extLst>
            <a:ext uri="{FF2B5EF4-FFF2-40B4-BE49-F238E27FC236}">
              <a16:creationId xmlns:a16="http://schemas.microsoft.com/office/drawing/2014/main" id="{00000000-0008-0000-0400-000013000000}"/>
            </a:ext>
          </a:extLst>
        </xdr:cNvPr>
        <xdr:cNvCxnSpPr>
          <a:stCxn id="16" idx="0"/>
        </xdr:cNvCxnSpPr>
      </xdr:nvCxnSpPr>
      <xdr:spPr>
        <a:xfrm rot="5400000" flipH="1" flipV="1">
          <a:off x="5507832" y="259557"/>
          <a:ext cx="400049" cy="42433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466725</xdr:colOff>
      <xdr:row>4</xdr:row>
      <xdr:rowOff>104775</xdr:rowOff>
    </xdr:from>
    <xdr:to>
      <xdr:col>9</xdr:col>
      <xdr:colOff>209550</xdr:colOff>
      <xdr:row>6</xdr:row>
      <xdr:rowOff>142875</xdr:rowOff>
    </xdr:to>
    <xdr:sp macro="" textlink="">
      <xdr:nvSpPr>
        <xdr:cNvPr id="3" name="Rektangel 2">
          <a:extLst>
            <a:ext uri="{FF2B5EF4-FFF2-40B4-BE49-F238E27FC236}">
              <a16:creationId xmlns:a16="http://schemas.microsoft.com/office/drawing/2014/main" id="{00000000-0008-0000-0400-000003000000}"/>
            </a:ext>
          </a:extLst>
        </xdr:cNvPr>
        <xdr:cNvSpPr/>
      </xdr:nvSpPr>
      <xdr:spPr>
        <a:xfrm>
          <a:off x="5534025" y="333375"/>
          <a:ext cx="3400425" cy="419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3581404</xdr:colOff>
      <xdr:row>15</xdr:row>
      <xdr:rowOff>104775</xdr:rowOff>
    </xdr:from>
    <xdr:to>
      <xdr:col>0</xdr:col>
      <xdr:colOff>3586164</xdr:colOff>
      <xdr:row>27</xdr:row>
      <xdr:rowOff>152400</xdr:rowOff>
    </xdr:to>
    <xdr:cxnSp macro="">
      <xdr:nvCxnSpPr>
        <xdr:cNvPr id="45" name="Vinklad  44">
          <a:extLst>
            <a:ext uri="{FF2B5EF4-FFF2-40B4-BE49-F238E27FC236}">
              <a16:creationId xmlns:a16="http://schemas.microsoft.com/office/drawing/2014/main" id="{00000000-0008-0000-0400-00002D000000}"/>
            </a:ext>
          </a:extLst>
        </xdr:cNvPr>
        <xdr:cNvCxnSpPr>
          <a:stCxn id="22" idx="0"/>
        </xdr:cNvCxnSpPr>
      </xdr:nvCxnSpPr>
      <xdr:spPr>
        <a:xfrm rot="16200000" flipV="1">
          <a:off x="2416971" y="4012408"/>
          <a:ext cx="2333625" cy="4760"/>
        </a:xfrm>
        <a:prstGeom prst="bentConnector3">
          <a:avLst>
            <a:gd name="adj1" fmla="val 50000"/>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22860</xdr:rowOff>
    </xdr:from>
    <xdr:to>
      <xdr:col>0</xdr:col>
      <xdr:colOff>815340</xdr:colOff>
      <xdr:row>3</xdr:row>
      <xdr:rowOff>30480</xdr:rowOff>
    </xdr:to>
    <xdr:pic>
      <xdr:nvPicPr>
        <xdr:cNvPr id="15" name="Bild 55" descr="nytt stadsvapen för A4">
          <a:extLst>
            <a:ext uri="{FF2B5EF4-FFF2-40B4-BE49-F238E27FC236}">
              <a16:creationId xmlns:a16="http://schemas.microsoft.com/office/drawing/2014/main" id="{00000000-0008-0000-04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565786</xdr:colOff>
      <xdr:row>10</xdr:row>
      <xdr:rowOff>24766</xdr:rowOff>
    </xdr:from>
    <xdr:ext cx="4314824" cy="1297919"/>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7949566" y="1891666"/>
          <a:ext cx="4314824" cy="1297919"/>
        </a:xfrm>
        <a:prstGeom prst="rect">
          <a:avLst/>
        </a:prstGeom>
        <a:solidFill>
          <a:sysClr val="window" lastClr="FFFFFF"/>
        </a:solidFill>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spAutoFit/>
        </a:bodyPr>
        <a:lstStyle/>
        <a:p>
          <a:r>
            <a:rPr lang="sv-SE" sz="1100">
              <a:solidFill>
                <a:schemeClr val="dk1"/>
              </a:solidFill>
              <a:effectLst/>
              <a:latin typeface="+mn-lt"/>
              <a:ea typeface="+mn-ea"/>
              <a:cs typeface="+mn-cs"/>
            </a:rPr>
            <a:t>Om både yta och antal lgh har angetts under fliken "förutsättningar" kommer beräkningen  av antalet bilplatser för bostäder att ge flera olika resultat, "1",</a:t>
          </a:r>
          <a:r>
            <a:rPr lang="sv-SE" sz="1100" baseline="0">
              <a:solidFill>
                <a:schemeClr val="dk1"/>
              </a:solidFill>
              <a:effectLst/>
              <a:latin typeface="+mn-lt"/>
              <a:ea typeface="+mn-ea"/>
              <a:cs typeface="+mn-cs"/>
            </a:rPr>
            <a:t> "2" resp "3". </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Är fördelningen av lägenheter känd så rekommenderas att beräkningarna vid siffra "3" används. I andra hand används beräkningarna vid siffra "1" och i sista hand siffra "2".</a:t>
          </a:r>
          <a:endParaRPr lang="sv-SE">
            <a:effectLst/>
          </a:endParaRPr>
        </a:p>
      </xdr:txBody>
    </xdr:sp>
    <xdr:clientData/>
  </xdr:oneCellAnchor>
  <xdr:oneCellAnchor>
    <xdr:from>
      <xdr:col>8</xdr:col>
      <xdr:colOff>266700</xdr:colOff>
      <xdr:row>33</xdr:row>
      <xdr:rowOff>47625</xdr:rowOff>
    </xdr:from>
    <xdr:ext cx="4314824" cy="1125693"/>
    <xdr:sp macro="" textlink="">
      <xdr:nvSpPr>
        <xdr:cNvPr id="4" name="textruta 3">
          <a:extLst>
            <a:ext uri="{FF2B5EF4-FFF2-40B4-BE49-F238E27FC236}">
              <a16:creationId xmlns:a16="http://schemas.microsoft.com/office/drawing/2014/main" id="{00000000-0008-0000-0500-000004000000}"/>
            </a:ext>
          </a:extLst>
        </xdr:cNvPr>
        <xdr:cNvSpPr txBox="1"/>
      </xdr:nvSpPr>
      <xdr:spPr>
        <a:xfrm>
          <a:off x="8260080" y="6768465"/>
          <a:ext cx="4314824" cy="112569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solidFill>
                <a:schemeClr val="dk1"/>
              </a:solidFill>
              <a:effectLst/>
              <a:latin typeface="+mn-lt"/>
              <a:ea typeface="+mn-ea"/>
              <a:cs typeface="+mn-cs"/>
            </a:rPr>
            <a:t>Om både yta och antal studentrum/lgh har angetts under fliken "förutsättningar" kommer beräkningen av antalet bilplatser för studentbostäder att ge flera olika resultat</a:t>
          </a:r>
          <a:r>
            <a:rPr lang="sv-SE" sz="1100" baseline="0">
              <a:solidFill>
                <a:schemeClr val="dk1"/>
              </a:solidFill>
              <a:effectLst/>
              <a:latin typeface="+mn-lt"/>
              <a:ea typeface="+mn-ea"/>
              <a:cs typeface="+mn-cs"/>
            </a:rPr>
            <a:t>. Är fördelningen av rum/lägenheter känd så rekommenderas att denna siffra för parkeringsbehovet läses av. I andra hand läses siffran som baseras på BTA av.</a:t>
          </a:r>
          <a:endParaRPr lang="sv-SE">
            <a:effectLst/>
          </a:endParaRPr>
        </a:p>
      </xdr:txBody>
    </xdr:sp>
    <xdr:clientData/>
  </xdr:oneCellAnchor>
  <xdr:oneCellAnchor>
    <xdr:from>
      <xdr:col>7</xdr:col>
      <xdr:colOff>142875</xdr:colOff>
      <xdr:row>54</xdr:row>
      <xdr:rowOff>19050</xdr:rowOff>
    </xdr:from>
    <xdr:ext cx="4314824" cy="609013"/>
    <xdr:sp macro="" textlink="">
      <xdr:nvSpPr>
        <xdr:cNvPr id="5" name="textruta 4">
          <a:extLst>
            <a:ext uri="{FF2B5EF4-FFF2-40B4-BE49-F238E27FC236}">
              <a16:creationId xmlns:a16="http://schemas.microsoft.com/office/drawing/2014/main" id="{00000000-0008-0000-0500-000005000000}"/>
            </a:ext>
          </a:extLst>
        </xdr:cNvPr>
        <xdr:cNvSpPr txBox="1"/>
      </xdr:nvSpPr>
      <xdr:spPr>
        <a:xfrm>
          <a:off x="6886575" y="9848850"/>
          <a:ext cx="4314824" cy="60901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solidFill>
                <a:schemeClr val="dk1"/>
              </a:solidFill>
              <a:effectLst/>
              <a:latin typeface="+mn-lt"/>
              <a:ea typeface="+mn-ea"/>
              <a:cs typeface="+mn-cs"/>
            </a:rPr>
            <a:t>Platser</a:t>
          </a:r>
          <a:r>
            <a:rPr lang="sv-SE" sz="1100" baseline="0">
              <a:solidFill>
                <a:schemeClr val="dk1"/>
              </a:solidFill>
              <a:effectLst/>
              <a:latin typeface="+mn-lt"/>
              <a:ea typeface="+mn-ea"/>
              <a:cs typeface="+mn-cs"/>
            </a:rPr>
            <a:t> för skjutsande föräldrar är inte inräknat i parkeringstalen. </a:t>
          </a:r>
          <a:r>
            <a:rPr lang="sv-SE" sz="1100">
              <a:solidFill>
                <a:schemeClr val="dk1"/>
              </a:solidFill>
              <a:effectLst/>
              <a:latin typeface="+mn-lt"/>
              <a:ea typeface="+mn-ea"/>
              <a:cs typeface="+mn-cs"/>
            </a:rPr>
            <a:t>För skolor och förskolor krävs alltid en speciell utredning av av- och påstigningsplatser för bilskjuts. </a:t>
          </a:r>
          <a:endParaRPr lang="sv-SE">
            <a:effectLst/>
          </a:endParaRPr>
        </a:p>
      </xdr:txBody>
    </xdr:sp>
    <xdr:clientData/>
  </xdr:oneCellAnchor>
  <xdr:twoCellAnchor>
    <xdr:from>
      <xdr:col>0</xdr:col>
      <xdr:colOff>3438525</xdr:colOff>
      <xdr:row>10</xdr:row>
      <xdr:rowOff>200025</xdr:rowOff>
    </xdr:from>
    <xdr:to>
      <xdr:col>2</xdr:col>
      <xdr:colOff>371474</xdr:colOff>
      <xdr:row>12</xdr:row>
      <xdr:rowOff>57150</xdr:rowOff>
    </xdr:to>
    <xdr:grpSp>
      <xdr:nvGrpSpPr>
        <xdr:cNvPr id="7" name="Grupp 6">
          <a:extLst>
            <a:ext uri="{FF2B5EF4-FFF2-40B4-BE49-F238E27FC236}">
              <a16:creationId xmlns:a16="http://schemas.microsoft.com/office/drawing/2014/main" id="{00000000-0008-0000-0500-000007000000}"/>
            </a:ext>
          </a:extLst>
        </xdr:cNvPr>
        <xdr:cNvGrpSpPr/>
      </xdr:nvGrpSpPr>
      <xdr:grpSpPr>
        <a:xfrm>
          <a:off x="3441700" y="2146300"/>
          <a:ext cx="609599" cy="273050"/>
          <a:chOff x="8382000" y="676275"/>
          <a:chExt cx="639586" cy="276225"/>
        </a:xfrm>
      </xdr:grpSpPr>
      <xdr:sp macro="" textlink="">
        <xdr:nvSpPr>
          <xdr:cNvPr id="6" name="Ellips 5">
            <a:extLst>
              <a:ext uri="{FF2B5EF4-FFF2-40B4-BE49-F238E27FC236}">
                <a16:creationId xmlns:a16="http://schemas.microsoft.com/office/drawing/2014/main" id="{00000000-0008-0000-0500-000006000000}"/>
              </a:ext>
            </a:extLst>
          </xdr:cNvPr>
          <xdr:cNvSpPr/>
        </xdr:nvSpPr>
        <xdr:spPr>
          <a:xfrm>
            <a:off x="8382000" y="676275"/>
            <a:ext cx="27622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100"/>
          </a:p>
        </xdr:txBody>
      </xdr:sp>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8391524" y="685800"/>
            <a:ext cx="630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1</a:t>
            </a:r>
          </a:p>
        </xdr:txBody>
      </xdr:sp>
    </xdr:grpSp>
    <xdr:clientData/>
  </xdr:twoCellAnchor>
  <xdr:twoCellAnchor>
    <xdr:from>
      <xdr:col>0</xdr:col>
      <xdr:colOff>3438525</xdr:colOff>
      <xdr:row>15</xdr:row>
      <xdr:rowOff>190500</xdr:rowOff>
    </xdr:from>
    <xdr:to>
      <xdr:col>2</xdr:col>
      <xdr:colOff>219075</xdr:colOff>
      <xdr:row>16</xdr:row>
      <xdr:rowOff>85725</xdr:rowOff>
    </xdr:to>
    <xdr:grpSp>
      <xdr:nvGrpSpPr>
        <xdr:cNvPr id="8" name="Grupp 7">
          <a:extLst>
            <a:ext uri="{FF2B5EF4-FFF2-40B4-BE49-F238E27FC236}">
              <a16:creationId xmlns:a16="http://schemas.microsoft.com/office/drawing/2014/main" id="{00000000-0008-0000-0500-000008000000}"/>
            </a:ext>
          </a:extLst>
        </xdr:cNvPr>
        <xdr:cNvGrpSpPr/>
      </xdr:nvGrpSpPr>
      <xdr:grpSpPr>
        <a:xfrm>
          <a:off x="3441700" y="3124200"/>
          <a:ext cx="457200" cy="279400"/>
          <a:chOff x="8382000" y="676275"/>
          <a:chExt cx="466725" cy="276225"/>
        </a:xfrm>
      </xdr:grpSpPr>
      <xdr:sp macro="" textlink="">
        <xdr:nvSpPr>
          <xdr:cNvPr id="9" name="Ellips 8">
            <a:extLst>
              <a:ext uri="{FF2B5EF4-FFF2-40B4-BE49-F238E27FC236}">
                <a16:creationId xmlns:a16="http://schemas.microsoft.com/office/drawing/2014/main" id="{00000000-0008-0000-0500-000009000000}"/>
              </a:ext>
            </a:extLst>
          </xdr:cNvPr>
          <xdr:cNvSpPr/>
        </xdr:nvSpPr>
        <xdr:spPr>
          <a:xfrm>
            <a:off x="8382000" y="676275"/>
            <a:ext cx="27622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100"/>
          </a:p>
        </xdr:txBody>
      </xdr:sp>
      <xdr:sp macro="" textlink="">
        <xdr:nvSpPr>
          <xdr:cNvPr id="10" name="textruta 9">
            <a:extLst>
              <a:ext uri="{FF2B5EF4-FFF2-40B4-BE49-F238E27FC236}">
                <a16:creationId xmlns:a16="http://schemas.microsoft.com/office/drawing/2014/main" id="{00000000-0008-0000-0500-00000A000000}"/>
              </a:ext>
            </a:extLst>
          </xdr:cNvPr>
          <xdr:cNvSpPr txBox="1"/>
        </xdr:nvSpPr>
        <xdr:spPr>
          <a:xfrm>
            <a:off x="8391525" y="676275"/>
            <a:ext cx="457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2</a:t>
            </a:r>
          </a:p>
        </xdr:txBody>
      </xdr:sp>
    </xdr:grpSp>
    <xdr:clientData/>
  </xdr:twoCellAnchor>
  <xdr:twoCellAnchor>
    <xdr:from>
      <xdr:col>0</xdr:col>
      <xdr:colOff>3438525</xdr:colOff>
      <xdr:row>29</xdr:row>
      <xdr:rowOff>161925</xdr:rowOff>
    </xdr:from>
    <xdr:to>
      <xdr:col>2</xdr:col>
      <xdr:colOff>247650</xdr:colOff>
      <xdr:row>30</xdr:row>
      <xdr:rowOff>66675</xdr:rowOff>
    </xdr:to>
    <xdr:grpSp>
      <xdr:nvGrpSpPr>
        <xdr:cNvPr id="11" name="Grupp 10">
          <a:extLst>
            <a:ext uri="{FF2B5EF4-FFF2-40B4-BE49-F238E27FC236}">
              <a16:creationId xmlns:a16="http://schemas.microsoft.com/office/drawing/2014/main" id="{00000000-0008-0000-0500-00000B000000}"/>
            </a:ext>
          </a:extLst>
        </xdr:cNvPr>
        <xdr:cNvGrpSpPr/>
      </xdr:nvGrpSpPr>
      <xdr:grpSpPr>
        <a:xfrm>
          <a:off x="3441700" y="5956300"/>
          <a:ext cx="482600" cy="285750"/>
          <a:chOff x="8382000" y="666750"/>
          <a:chExt cx="466725" cy="285750"/>
        </a:xfrm>
      </xdr:grpSpPr>
      <xdr:sp macro="" textlink="">
        <xdr:nvSpPr>
          <xdr:cNvPr id="12" name="Ellips 11">
            <a:extLst>
              <a:ext uri="{FF2B5EF4-FFF2-40B4-BE49-F238E27FC236}">
                <a16:creationId xmlns:a16="http://schemas.microsoft.com/office/drawing/2014/main" id="{00000000-0008-0000-0500-00000C000000}"/>
              </a:ext>
            </a:extLst>
          </xdr:cNvPr>
          <xdr:cNvSpPr/>
        </xdr:nvSpPr>
        <xdr:spPr>
          <a:xfrm>
            <a:off x="8382000" y="676275"/>
            <a:ext cx="27622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100"/>
          </a:p>
        </xdr:txBody>
      </xdr:sp>
      <xdr:sp macro="" textlink="">
        <xdr:nvSpPr>
          <xdr:cNvPr id="13" name="textruta 12">
            <a:extLst>
              <a:ext uri="{FF2B5EF4-FFF2-40B4-BE49-F238E27FC236}">
                <a16:creationId xmlns:a16="http://schemas.microsoft.com/office/drawing/2014/main" id="{00000000-0008-0000-0500-00000D000000}"/>
              </a:ext>
            </a:extLst>
          </xdr:cNvPr>
          <xdr:cNvSpPr txBox="1"/>
        </xdr:nvSpPr>
        <xdr:spPr>
          <a:xfrm>
            <a:off x="8391525" y="666750"/>
            <a:ext cx="457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3</a:t>
            </a:r>
          </a:p>
        </xdr:txBody>
      </xdr:sp>
    </xdr:grpSp>
    <xdr:clientData/>
  </xdr:twoCellAnchor>
  <xdr:twoCellAnchor>
    <xdr:from>
      <xdr:col>0</xdr:col>
      <xdr:colOff>3576637</xdr:colOff>
      <xdr:row>10</xdr:row>
      <xdr:rowOff>60960</xdr:rowOff>
    </xdr:from>
    <xdr:to>
      <xdr:col>7</xdr:col>
      <xdr:colOff>571503</xdr:colOff>
      <xdr:row>10</xdr:row>
      <xdr:rowOff>200025</xdr:rowOff>
    </xdr:to>
    <xdr:cxnSp macro="">
      <xdr:nvCxnSpPr>
        <xdr:cNvPr id="14" name="Vinklad  13">
          <a:extLst>
            <a:ext uri="{FF2B5EF4-FFF2-40B4-BE49-F238E27FC236}">
              <a16:creationId xmlns:a16="http://schemas.microsoft.com/office/drawing/2014/main" id="{00000000-0008-0000-0500-00000E000000}"/>
            </a:ext>
          </a:extLst>
        </xdr:cNvPr>
        <xdr:cNvCxnSpPr/>
      </xdr:nvCxnSpPr>
      <xdr:spPr>
        <a:xfrm flipV="1">
          <a:off x="3576637" y="1927860"/>
          <a:ext cx="4378646" cy="139065"/>
        </a:xfrm>
        <a:prstGeom prst="bentConnector3">
          <a:avLst>
            <a:gd name="adj1" fmla="val -12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3535280</xdr:colOff>
      <xdr:row>14</xdr:row>
      <xdr:rowOff>68580</xdr:rowOff>
    </xdr:from>
    <xdr:to>
      <xdr:col>7</xdr:col>
      <xdr:colOff>563880</xdr:colOff>
      <xdr:row>15</xdr:row>
      <xdr:rowOff>228720</xdr:rowOff>
    </xdr:to>
    <xdr:cxnSp macro="">
      <xdr:nvCxnSpPr>
        <xdr:cNvPr id="15" name="Vinklad  14">
          <a:extLst>
            <a:ext uri="{FF2B5EF4-FFF2-40B4-BE49-F238E27FC236}">
              <a16:creationId xmlns:a16="http://schemas.microsoft.com/office/drawing/2014/main" id="{00000000-0008-0000-0500-00000F000000}"/>
            </a:ext>
          </a:extLst>
        </xdr:cNvPr>
        <xdr:cNvCxnSpPr>
          <a:stCxn id="9" idx="1"/>
        </xdr:cNvCxnSpPr>
      </xdr:nvCxnSpPr>
      <xdr:spPr>
        <a:xfrm rot="5400000" flipH="1" flipV="1">
          <a:off x="5566150" y="674230"/>
          <a:ext cx="350640" cy="44123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160020</xdr:colOff>
      <xdr:row>16</xdr:row>
      <xdr:rowOff>15239</xdr:rowOff>
    </xdr:from>
    <xdr:to>
      <xdr:col>12</xdr:col>
      <xdr:colOff>512445</xdr:colOff>
      <xdr:row>17</xdr:row>
      <xdr:rowOff>175260</xdr:rowOff>
    </xdr:to>
    <xdr:sp macro="" textlink="">
      <xdr:nvSpPr>
        <xdr:cNvPr id="20" name="Ned 19">
          <a:extLst>
            <a:ext uri="{FF2B5EF4-FFF2-40B4-BE49-F238E27FC236}">
              <a16:creationId xmlns:a16="http://schemas.microsoft.com/office/drawing/2014/main" id="{00000000-0008-0000-0500-000014000000}"/>
            </a:ext>
          </a:extLst>
        </xdr:cNvPr>
        <xdr:cNvSpPr/>
      </xdr:nvSpPr>
      <xdr:spPr>
        <a:xfrm>
          <a:off x="10591800" y="3208019"/>
          <a:ext cx="352425" cy="342901"/>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lang="sv-SE" sz="1100"/>
        </a:p>
      </xdr:txBody>
    </xdr:sp>
    <xdr:clientData/>
  </xdr:twoCellAnchor>
  <xdr:twoCellAnchor>
    <xdr:from>
      <xdr:col>3</xdr:col>
      <xdr:colOff>495299</xdr:colOff>
      <xdr:row>3</xdr:row>
      <xdr:rowOff>26670</xdr:rowOff>
    </xdr:from>
    <xdr:to>
      <xdr:col>12</xdr:col>
      <xdr:colOff>28574</xdr:colOff>
      <xdr:row>9</xdr:row>
      <xdr:rowOff>106680</xdr:rowOff>
    </xdr:to>
    <xdr:sp macro="" textlink="">
      <xdr:nvSpPr>
        <xdr:cNvPr id="19" name="Rektangel 18">
          <a:extLst>
            <a:ext uri="{FF2B5EF4-FFF2-40B4-BE49-F238E27FC236}">
              <a16:creationId xmlns:a16="http://schemas.microsoft.com/office/drawing/2014/main" id="{00000000-0008-0000-0500-000013000000}"/>
            </a:ext>
          </a:extLst>
        </xdr:cNvPr>
        <xdr:cNvSpPr/>
      </xdr:nvSpPr>
      <xdr:spPr>
        <a:xfrm>
          <a:off x="4781549" y="598170"/>
          <a:ext cx="5019675" cy="12611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editAs="oneCell">
    <xdr:from>
      <xdr:col>0</xdr:col>
      <xdr:colOff>0</xdr:colOff>
      <xdr:row>0</xdr:row>
      <xdr:rowOff>22860</xdr:rowOff>
    </xdr:from>
    <xdr:to>
      <xdr:col>0</xdr:col>
      <xdr:colOff>815340</xdr:colOff>
      <xdr:row>3</xdr:row>
      <xdr:rowOff>30480</xdr:rowOff>
    </xdr:to>
    <xdr:pic>
      <xdr:nvPicPr>
        <xdr:cNvPr id="21" name="Bild 55" descr="nytt stadsvapen för A4">
          <a:extLst>
            <a:ext uri="{FF2B5EF4-FFF2-40B4-BE49-F238E27FC236}">
              <a16:creationId xmlns:a16="http://schemas.microsoft.com/office/drawing/2014/main" id="{00000000-0008-0000-0500-00001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twoCellAnchor>
    <xdr:from>
      <xdr:col>0</xdr:col>
      <xdr:colOff>3535280</xdr:colOff>
      <xdr:row>16</xdr:row>
      <xdr:rowOff>47505</xdr:rowOff>
    </xdr:from>
    <xdr:to>
      <xdr:col>0</xdr:col>
      <xdr:colOff>3543300</xdr:colOff>
      <xdr:row>29</xdr:row>
      <xdr:rowOff>205740</xdr:rowOff>
    </xdr:to>
    <xdr:cxnSp macro="">
      <xdr:nvCxnSpPr>
        <xdr:cNvPr id="34" name="Rak 33">
          <a:extLst>
            <a:ext uri="{FF2B5EF4-FFF2-40B4-BE49-F238E27FC236}">
              <a16:creationId xmlns:a16="http://schemas.microsoft.com/office/drawing/2014/main" id="{00000000-0008-0000-0500-000022000000}"/>
            </a:ext>
          </a:extLst>
        </xdr:cNvPr>
        <xdr:cNvCxnSpPr>
          <a:stCxn id="9" idx="3"/>
        </xdr:cNvCxnSpPr>
      </xdr:nvCxnSpPr>
      <xdr:spPr>
        <a:xfrm>
          <a:off x="3535280" y="3240285"/>
          <a:ext cx="8020" cy="255091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152401</xdr:colOff>
      <xdr:row>30</xdr:row>
      <xdr:rowOff>171451</xdr:rowOff>
    </xdr:from>
    <xdr:ext cx="4314824" cy="609013"/>
    <xdr:sp macro="" textlink="">
      <xdr:nvSpPr>
        <xdr:cNvPr id="2" name="textruta 1">
          <a:extLst>
            <a:ext uri="{FF2B5EF4-FFF2-40B4-BE49-F238E27FC236}">
              <a16:creationId xmlns:a16="http://schemas.microsoft.com/office/drawing/2014/main" id="{00000000-0008-0000-0600-000002000000}"/>
            </a:ext>
          </a:extLst>
        </xdr:cNvPr>
        <xdr:cNvSpPr txBox="1"/>
      </xdr:nvSpPr>
      <xdr:spPr>
        <a:xfrm>
          <a:off x="152401" y="6396991"/>
          <a:ext cx="4314824" cy="60901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solidFill>
                <a:schemeClr val="dk1"/>
              </a:solidFill>
              <a:effectLst/>
              <a:latin typeface="+mn-lt"/>
              <a:ea typeface="+mn-ea"/>
              <a:cs typeface="+mn-cs"/>
            </a:rPr>
            <a:t>För studentbostäder medges ingen reduktion, parkeringstalen för bil är redan mycket låga. För villor och radhus med parkering på tomten medges ingen reduktion enligt detta verktyg. </a:t>
          </a:r>
          <a:endParaRPr lang="sv-SE">
            <a:effectLst/>
          </a:endParaRPr>
        </a:p>
      </xdr:txBody>
    </xdr:sp>
    <xdr:clientData/>
  </xdr:oneCellAnchor>
  <xdr:oneCellAnchor>
    <xdr:from>
      <xdr:col>0</xdr:col>
      <xdr:colOff>133350</xdr:colOff>
      <xdr:row>11</xdr:row>
      <xdr:rowOff>152400</xdr:rowOff>
    </xdr:from>
    <xdr:ext cx="5750677" cy="264560"/>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133350" y="1743075"/>
          <a:ext cx="5750677" cy="26456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marL="0" indent="0"/>
          <a:r>
            <a:rPr lang="sv-SE" sz="1100">
              <a:solidFill>
                <a:schemeClr val="dk1"/>
              </a:solidFill>
              <a:effectLst/>
              <a:latin typeface="+mn-lt"/>
              <a:ea typeface="+mn-ea"/>
              <a:cs typeface="+mn-cs"/>
            </a:rPr>
            <a:t>Om reduktion för bilpool inte ska användas, sätts procentsatserna i de orange rutorna ovan till 0%</a:t>
          </a:r>
        </a:p>
      </xdr:txBody>
    </xdr:sp>
    <xdr:clientData/>
  </xdr:oneCellAnchor>
  <xdr:oneCellAnchor>
    <xdr:from>
      <xdr:col>5</xdr:col>
      <xdr:colOff>0</xdr:colOff>
      <xdr:row>55</xdr:row>
      <xdr:rowOff>180975</xdr:rowOff>
    </xdr:from>
    <xdr:ext cx="6172200" cy="609013"/>
    <xdr:sp macro="" textlink="">
      <xdr:nvSpPr>
        <xdr:cNvPr id="4" name="textruta 3">
          <a:extLst>
            <a:ext uri="{FF2B5EF4-FFF2-40B4-BE49-F238E27FC236}">
              <a16:creationId xmlns:a16="http://schemas.microsoft.com/office/drawing/2014/main" id="{00000000-0008-0000-0600-000004000000}"/>
            </a:ext>
          </a:extLst>
        </xdr:cNvPr>
        <xdr:cNvSpPr txBox="1"/>
      </xdr:nvSpPr>
      <xdr:spPr>
        <a:xfrm>
          <a:off x="6467475" y="10868025"/>
          <a:ext cx="6172200" cy="60901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solidFill>
                <a:schemeClr val="dk1"/>
              </a:solidFill>
              <a:effectLst/>
              <a:latin typeface="+mn-lt"/>
              <a:ea typeface="+mn-ea"/>
              <a:cs typeface="+mn-cs"/>
            </a:rPr>
            <a:t>Reduktion</a:t>
          </a:r>
          <a:r>
            <a:rPr lang="sv-SE" sz="1100" baseline="0">
              <a:solidFill>
                <a:schemeClr val="dk1"/>
              </a:solidFill>
              <a:effectLst/>
              <a:latin typeface="+mn-lt"/>
              <a:ea typeface="+mn-ea"/>
              <a:cs typeface="+mn-cs"/>
            </a:rPr>
            <a:t> för hotell och restauranger medges inte i detta verktyg, eftersom merparten av parkeringsplatserna är avsedda för gäster som inte kan antas påverkas av förekomsten av en bilpool. Vill byggherren ha reduktion för dessa verksamheter krävs en särskild parkeringsutredning.</a:t>
          </a:r>
          <a:endParaRPr lang="sv-SE">
            <a:effectLst/>
          </a:endParaRPr>
        </a:p>
      </xdr:txBody>
    </xdr:sp>
    <xdr:clientData/>
  </xdr:oneCellAnchor>
  <xdr:twoCellAnchor editAs="oneCell">
    <xdr:from>
      <xdr:col>0</xdr:col>
      <xdr:colOff>0</xdr:colOff>
      <xdr:row>0</xdr:row>
      <xdr:rowOff>22860</xdr:rowOff>
    </xdr:from>
    <xdr:to>
      <xdr:col>0</xdr:col>
      <xdr:colOff>815340</xdr:colOff>
      <xdr:row>3</xdr:row>
      <xdr:rowOff>30480</xdr:rowOff>
    </xdr:to>
    <xdr:pic>
      <xdr:nvPicPr>
        <xdr:cNvPr id="5" name="Bild 55" descr="nytt stadsvapen för A4">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oneCellAnchor>
    <xdr:from>
      <xdr:col>8</xdr:col>
      <xdr:colOff>9525</xdr:colOff>
      <xdr:row>38</xdr:row>
      <xdr:rowOff>171450</xdr:rowOff>
    </xdr:from>
    <xdr:ext cx="6172200" cy="264560"/>
    <xdr:sp macro="" textlink="">
      <xdr:nvSpPr>
        <xdr:cNvPr id="6" name="textruta 5">
          <a:extLst>
            <a:ext uri="{FF2B5EF4-FFF2-40B4-BE49-F238E27FC236}">
              <a16:creationId xmlns:a16="http://schemas.microsoft.com/office/drawing/2014/main" id="{00000000-0008-0000-0600-000006000000}"/>
            </a:ext>
          </a:extLst>
        </xdr:cNvPr>
        <xdr:cNvSpPr txBox="1"/>
      </xdr:nvSpPr>
      <xdr:spPr>
        <a:xfrm>
          <a:off x="7639050" y="8172450"/>
          <a:ext cx="6172200" cy="26456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marL="0" indent="0"/>
          <a:r>
            <a:rPr lang="sv-SE" sz="1100">
              <a:solidFill>
                <a:schemeClr val="dk1"/>
              </a:solidFill>
              <a:effectLst/>
              <a:latin typeface="+mn-lt"/>
              <a:ea typeface="+mn-ea"/>
              <a:cs typeface="+mn-cs"/>
            </a:rPr>
            <a:t>Reduktionen för bilpool utgår från hela bilplatser, dvs  grundtalen har avrundats uppåt till närmsta heltal</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152401</xdr:colOff>
      <xdr:row>31</xdr:row>
      <xdr:rowOff>171451</xdr:rowOff>
    </xdr:from>
    <xdr:ext cx="4314824" cy="609013"/>
    <xdr:sp macro="" textlink="">
      <xdr:nvSpPr>
        <xdr:cNvPr id="2" name="textruta 1">
          <a:extLst>
            <a:ext uri="{FF2B5EF4-FFF2-40B4-BE49-F238E27FC236}">
              <a16:creationId xmlns:a16="http://schemas.microsoft.com/office/drawing/2014/main" id="{00000000-0008-0000-0700-000002000000}"/>
            </a:ext>
          </a:extLst>
        </xdr:cNvPr>
        <xdr:cNvSpPr txBox="1"/>
      </xdr:nvSpPr>
      <xdr:spPr>
        <a:xfrm>
          <a:off x="152401" y="5238751"/>
          <a:ext cx="4314824" cy="60901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solidFill>
                <a:schemeClr val="dk1"/>
              </a:solidFill>
              <a:effectLst/>
              <a:latin typeface="+mn-lt"/>
              <a:ea typeface="+mn-ea"/>
              <a:cs typeface="+mn-cs"/>
            </a:rPr>
            <a:t>För studentbostäder medges ingen reduktion, parkeringstalen för bil är redan mycket låga. För villor och radhus med parkering på tomten medges ingen reduktion enligt detta verktyg. </a:t>
          </a:r>
          <a:endParaRPr lang="sv-SE">
            <a:effectLst/>
          </a:endParaRPr>
        </a:p>
      </xdr:txBody>
    </xdr:sp>
    <xdr:clientData/>
  </xdr:oneCellAnchor>
  <xdr:oneCellAnchor>
    <xdr:from>
      <xdr:col>0</xdr:col>
      <xdr:colOff>142876</xdr:colOff>
      <xdr:row>11</xdr:row>
      <xdr:rowOff>85725</xdr:rowOff>
    </xdr:from>
    <xdr:ext cx="6172200" cy="609013"/>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142876" y="1676400"/>
          <a:ext cx="6172200" cy="609013"/>
        </a:xfrm>
        <a:prstGeom prst="rect">
          <a:avLst/>
        </a:prstGeom>
        <a:solidFill>
          <a:sysClr val="window" lastClr="FFFFFF"/>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marL="0" indent="0"/>
          <a:r>
            <a:rPr lang="sv-SE" sz="1100">
              <a:solidFill>
                <a:schemeClr val="dk1"/>
              </a:solidFill>
              <a:effectLst/>
              <a:latin typeface="+mn-lt"/>
              <a:ea typeface="+mn-ea"/>
              <a:cs typeface="+mn-cs"/>
            </a:rPr>
            <a:t>Procentsatserna</a:t>
          </a:r>
          <a:r>
            <a:rPr lang="sv-SE" sz="1100" baseline="0">
              <a:solidFill>
                <a:schemeClr val="dk1"/>
              </a:solidFill>
              <a:effectLst/>
              <a:latin typeface="+mn-lt"/>
              <a:ea typeface="+mn-ea"/>
              <a:cs typeface="+mn-cs"/>
            </a:rPr>
            <a:t> sätts inom intervallet </a:t>
          </a:r>
          <a:r>
            <a:rPr lang="sv-SE" sz="1100">
              <a:solidFill>
                <a:schemeClr val="dk1"/>
              </a:solidFill>
              <a:effectLst/>
              <a:latin typeface="+mn-lt"/>
              <a:ea typeface="+mn-ea"/>
              <a:cs typeface="+mn-cs"/>
            </a:rPr>
            <a:t>0-10 %. För maximal reduktion (10 %) ska minst fem MM-åtgärder genomföras. Se</a:t>
          </a:r>
          <a:r>
            <a:rPr lang="sv-SE" sz="1100" baseline="0">
              <a:solidFill>
                <a:schemeClr val="dk1"/>
              </a:solidFill>
              <a:effectLst/>
              <a:latin typeface="+mn-lt"/>
              <a:ea typeface="+mn-ea"/>
              <a:cs typeface="+mn-cs"/>
            </a:rPr>
            <a:t> exempel på MM-åtgärder i dokumentet Parkeringsriktlinjer.</a:t>
          </a:r>
          <a:endParaRPr lang="sv-SE" sz="1100">
            <a:solidFill>
              <a:schemeClr val="dk1"/>
            </a:solidFill>
            <a:effectLst/>
            <a:latin typeface="+mn-lt"/>
            <a:ea typeface="+mn-ea"/>
            <a:cs typeface="+mn-cs"/>
          </a:endParaRPr>
        </a:p>
        <a:p>
          <a:pPr marL="0" indent="0"/>
          <a:r>
            <a:rPr lang="sv-SE" sz="1100">
              <a:solidFill>
                <a:schemeClr val="dk1"/>
              </a:solidFill>
              <a:effectLst/>
              <a:latin typeface="+mn-lt"/>
              <a:ea typeface="+mn-ea"/>
              <a:cs typeface="+mn-cs"/>
            </a:rPr>
            <a:t>Om reduktion för MM-åtgärder inte ska användas, sätts procensatserna i de orange rutorna ovan till 0%</a:t>
          </a:r>
        </a:p>
      </xdr:txBody>
    </xdr:sp>
    <xdr:clientData/>
  </xdr:oneCellAnchor>
  <xdr:oneCellAnchor>
    <xdr:from>
      <xdr:col>4</xdr:col>
      <xdr:colOff>209549</xdr:colOff>
      <xdr:row>56</xdr:row>
      <xdr:rowOff>171450</xdr:rowOff>
    </xdr:from>
    <xdr:ext cx="5514975" cy="609013"/>
    <xdr:sp macro="" textlink="">
      <xdr:nvSpPr>
        <xdr:cNvPr id="4" name="textruta 3">
          <a:extLst>
            <a:ext uri="{FF2B5EF4-FFF2-40B4-BE49-F238E27FC236}">
              <a16:creationId xmlns:a16="http://schemas.microsoft.com/office/drawing/2014/main" id="{00000000-0008-0000-0700-000004000000}"/>
            </a:ext>
          </a:extLst>
        </xdr:cNvPr>
        <xdr:cNvSpPr txBox="1"/>
      </xdr:nvSpPr>
      <xdr:spPr>
        <a:xfrm>
          <a:off x="6067424" y="11049000"/>
          <a:ext cx="5514975" cy="60901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v-SE" sz="1100">
              <a:solidFill>
                <a:schemeClr val="dk1"/>
              </a:solidFill>
              <a:effectLst/>
              <a:latin typeface="+mn-lt"/>
              <a:ea typeface="+mn-ea"/>
              <a:cs typeface="+mn-cs"/>
            </a:rPr>
            <a:t>Reduktion</a:t>
          </a:r>
          <a:r>
            <a:rPr lang="sv-SE" sz="1100" baseline="0">
              <a:solidFill>
                <a:schemeClr val="dk1"/>
              </a:solidFill>
              <a:effectLst/>
              <a:latin typeface="+mn-lt"/>
              <a:ea typeface="+mn-ea"/>
              <a:cs typeface="+mn-cs"/>
            </a:rPr>
            <a:t> för hotell och restauranger medges inte, eftersom merparten av parkeringsplatserna är avsedda för gäster som inte kan antas påverkas av MM-åtgärder. Vill byggherren ha reduktion för dessa verksamheter krävs en särskild parkeringsutredning.</a:t>
          </a:r>
          <a:endParaRPr lang="sv-SE">
            <a:effectLst/>
          </a:endParaRPr>
        </a:p>
      </xdr:txBody>
    </xdr:sp>
    <xdr:clientData/>
  </xdr:oneCellAnchor>
  <xdr:twoCellAnchor editAs="oneCell">
    <xdr:from>
      <xdr:col>0</xdr:col>
      <xdr:colOff>0</xdr:colOff>
      <xdr:row>0</xdr:row>
      <xdr:rowOff>22860</xdr:rowOff>
    </xdr:from>
    <xdr:to>
      <xdr:col>0</xdr:col>
      <xdr:colOff>815340</xdr:colOff>
      <xdr:row>3</xdr:row>
      <xdr:rowOff>30480</xdr:rowOff>
    </xdr:to>
    <xdr:pic>
      <xdr:nvPicPr>
        <xdr:cNvPr id="5" name="Bild 55" descr="nytt stadsvapen för A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142874</xdr:colOff>
      <xdr:row>9</xdr:row>
      <xdr:rowOff>180975</xdr:rowOff>
    </xdr:from>
    <xdr:ext cx="12639675" cy="1297919"/>
    <xdr:sp macro="" textlink="">
      <xdr:nvSpPr>
        <xdr:cNvPr id="2" name="textruta 1">
          <a:extLst>
            <a:ext uri="{FF2B5EF4-FFF2-40B4-BE49-F238E27FC236}">
              <a16:creationId xmlns:a16="http://schemas.microsoft.com/office/drawing/2014/main" id="{00000000-0008-0000-0800-000002000000}"/>
            </a:ext>
          </a:extLst>
        </xdr:cNvPr>
        <xdr:cNvSpPr txBox="1"/>
      </xdr:nvSpPr>
      <xdr:spPr>
        <a:xfrm>
          <a:off x="142874" y="1362075"/>
          <a:ext cx="12639675" cy="129791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Reduktion för samnyttjande</a:t>
          </a:r>
          <a:r>
            <a:rPr lang="sv-SE" sz="1100" baseline="0">
              <a:solidFill>
                <a:schemeClr val="dk1"/>
              </a:solidFill>
              <a:effectLst/>
              <a:latin typeface="+mn-lt"/>
              <a:ea typeface="+mn-ea"/>
              <a:cs typeface="+mn-cs"/>
            </a:rPr>
            <a:t> får ges för den parkering som fastighetsägaren avser ordna  på den egna fastigheten. Samnyttjande förutsätter att det är flera olika typer av lokaler/funktioner som delar på platserna i en gemensam parkeringsanläggning. Bostäder och kontor kan exempelvis samnyttja platser, liksom bostäder kan samnyttja med en skola. Ju fler olika typer av lokaler/funktioner som deltar i samnyttjandet, desto större är sannolikheten att det kommer att fungera bra. Reduktion för samnyttjande  får INTE göras mellan verksamheter som har liknande parkeringsefterfrågan, som t ex handel och restauranger. Reduktion för samnyttjande får INTE heller göras om fastigheten bara innehåller en enda typ av bebyggelse, t ex enbart bostäder eller enbart kontor.</a:t>
          </a:r>
        </a:p>
        <a:p>
          <a:pPr marL="0" indent="0"/>
          <a:endParaRPr lang="sv-SE" sz="1100" baseline="0">
            <a:solidFill>
              <a:schemeClr val="dk1"/>
            </a:solidFill>
            <a:effectLst/>
            <a:latin typeface="+mn-lt"/>
            <a:ea typeface="+mn-ea"/>
            <a:cs typeface="+mn-cs"/>
          </a:endParaRPr>
        </a:p>
        <a:p>
          <a:pPr marL="0" indent="0"/>
          <a:r>
            <a:rPr lang="sv-SE" sz="1100" baseline="0">
              <a:solidFill>
                <a:schemeClr val="dk1"/>
              </a:solidFill>
              <a:effectLst/>
              <a:latin typeface="+mn-lt"/>
              <a:ea typeface="+mn-ea"/>
              <a:cs typeface="+mn-cs"/>
            </a:rPr>
            <a:t>Denna flik beräknar samnyttjandet förutsatt att ALL parkering löses på den egna fastigheten, dvs inga parkeringsköp görs. Om parkeringsköp ska tillämpas för att lösa en del av parkeringsefterfrågan, använd resultaten i nästa flik istället!</a:t>
          </a:r>
          <a:endParaRPr lang="sv-SE" sz="1100">
            <a:solidFill>
              <a:schemeClr val="dk1"/>
            </a:solidFill>
            <a:effectLst/>
            <a:latin typeface="+mn-lt"/>
            <a:ea typeface="+mn-ea"/>
            <a:cs typeface="+mn-cs"/>
          </a:endParaRPr>
        </a:p>
      </xdr:txBody>
    </xdr:sp>
    <xdr:clientData/>
  </xdr:oneCellAnchor>
  <xdr:oneCellAnchor>
    <xdr:from>
      <xdr:col>7</xdr:col>
      <xdr:colOff>19050</xdr:colOff>
      <xdr:row>18</xdr:row>
      <xdr:rowOff>161925</xdr:rowOff>
    </xdr:from>
    <xdr:ext cx="6172200" cy="2675732"/>
    <xdr:sp macro="" textlink="">
      <xdr:nvSpPr>
        <xdr:cNvPr id="3" name="textruta 2">
          <a:extLst>
            <a:ext uri="{FF2B5EF4-FFF2-40B4-BE49-F238E27FC236}">
              <a16:creationId xmlns:a16="http://schemas.microsoft.com/office/drawing/2014/main" id="{00000000-0008-0000-0800-000003000000}"/>
            </a:ext>
          </a:extLst>
        </xdr:cNvPr>
        <xdr:cNvSpPr txBox="1"/>
      </xdr:nvSpPr>
      <xdr:spPr>
        <a:xfrm>
          <a:off x="6619875" y="2867025"/>
          <a:ext cx="6172200" cy="267573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marL="0" indent="0"/>
          <a:r>
            <a:rPr lang="sv-SE" sz="1100">
              <a:solidFill>
                <a:schemeClr val="dk1"/>
              </a:solidFill>
              <a:effectLst/>
              <a:latin typeface="+mn-lt"/>
              <a:ea typeface="+mn-ea"/>
              <a:cs typeface="+mn-cs"/>
            </a:rPr>
            <a:t>Potentialen för samnyttjande beräknas för fyra olika</a:t>
          </a:r>
          <a:r>
            <a:rPr lang="sv-SE" sz="1100" baseline="0">
              <a:solidFill>
                <a:schemeClr val="dk1"/>
              </a:solidFill>
              <a:effectLst/>
              <a:latin typeface="+mn-lt"/>
              <a:ea typeface="+mn-ea"/>
              <a:cs typeface="+mn-cs"/>
            </a:rPr>
            <a:t> tidsintervall. Den tid på veckan/dygnet när den totala parkeringsefterfrågan är som högst, blir dimensionerande.</a:t>
          </a:r>
        </a:p>
        <a:p>
          <a:pPr marL="0" indent="0"/>
          <a:endParaRPr lang="sv-SE" sz="1100" baseline="0">
            <a:solidFill>
              <a:schemeClr val="dk1"/>
            </a:solidFill>
            <a:effectLst/>
            <a:latin typeface="+mn-lt"/>
            <a:ea typeface="+mn-ea"/>
            <a:cs typeface="+mn-cs"/>
          </a:endParaRPr>
        </a:p>
        <a:p>
          <a:pPr marL="0" indent="0"/>
          <a:r>
            <a:rPr lang="sv-SE" sz="1100" baseline="0">
              <a:solidFill>
                <a:schemeClr val="dk1"/>
              </a:solidFill>
              <a:effectLst/>
              <a:latin typeface="+mn-lt"/>
              <a:ea typeface="+mn-ea"/>
              <a:cs typeface="+mn-cs"/>
            </a:rPr>
            <a:t>Underlagstabellen visar utnyttjandegraden för respektive typ av verksamhet under de olika tidsintervallen. Exempelvis används typiskt sett 70 % av parkeringsplatserna vid ett kontor under dagtid vardagar, medan endast 20 % av parkeringsplatserna för samma kontor är upptagna på lördag förmiddag.</a:t>
          </a:r>
        </a:p>
        <a:p>
          <a:pPr marL="0" indent="0"/>
          <a:endParaRPr lang="sv-SE" sz="1100" baseline="0">
            <a:solidFill>
              <a:schemeClr val="dk1"/>
            </a:solidFill>
            <a:effectLst/>
            <a:latin typeface="+mn-lt"/>
            <a:ea typeface="+mn-ea"/>
            <a:cs typeface="+mn-cs"/>
          </a:endParaRPr>
        </a:p>
        <a:p>
          <a:pPr marL="0" indent="0"/>
          <a:r>
            <a:rPr lang="sv-SE" sz="1100" baseline="0">
              <a:solidFill>
                <a:schemeClr val="dk1"/>
              </a:solidFill>
              <a:effectLst/>
              <a:latin typeface="+mn-lt"/>
              <a:ea typeface="+mn-ea"/>
              <a:cs typeface="+mn-cs"/>
            </a:rPr>
            <a:t>Förutsättningar för att samnyttjandet ska fungera är:</a:t>
          </a:r>
        </a:p>
        <a:p>
          <a:pPr marL="0" indent="0"/>
          <a:r>
            <a:rPr lang="sv-SE" sz="1100" baseline="0">
              <a:solidFill>
                <a:schemeClr val="dk1"/>
              </a:solidFill>
              <a:effectLst/>
              <a:latin typeface="+mn-lt"/>
              <a:ea typeface="+mn-ea"/>
              <a:cs typeface="+mn-cs"/>
            </a:rPr>
            <a:t>¤ att bilplatserna inte är reserverade för något särskilt fordon eller någon användargrupp</a:t>
          </a:r>
        </a:p>
        <a:p>
          <a:pPr marL="0" indent="0"/>
          <a:r>
            <a:rPr lang="sv-SE" sz="1100" baseline="0">
              <a:solidFill>
                <a:schemeClr val="dk1"/>
              </a:solidFill>
              <a:effectLst/>
              <a:latin typeface="+mn-lt"/>
              <a:ea typeface="+mn-ea"/>
              <a:cs typeface="+mn-cs"/>
            </a:rPr>
            <a:t>¤ att stadens policy för gångavstånd används</a:t>
          </a:r>
        </a:p>
        <a:p>
          <a:pPr marL="0" indent="0"/>
          <a:r>
            <a:rPr lang="sv-SE" sz="1100" baseline="0">
              <a:solidFill>
                <a:schemeClr val="dk1"/>
              </a:solidFill>
              <a:effectLst/>
              <a:latin typeface="+mn-lt"/>
              <a:ea typeface="+mn-ea"/>
              <a:cs typeface="+mn-cs"/>
            </a:rPr>
            <a:t>¤ att samnyttjandet är varaktigt bestående</a:t>
          </a:r>
        </a:p>
        <a:p>
          <a:pPr marL="0" indent="0"/>
          <a:endParaRPr lang="sv-SE" sz="1100" baseline="0">
            <a:solidFill>
              <a:schemeClr val="dk1"/>
            </a:solidFill>
            <a:effectLst/>
            <a:latin typeface="+mn-lt"/>
            <a:ea typeface="+mn-ea"/>
            <a:cs typeface="+mn-cs"/>
          </a:endParaRPr>
        </a:p>
        <a:p>
          <a:pPr marL="0" indent="0"/>
          <a:r>
            <a:rPr lang="sv-SE" sz="1100" baseline="0">
              <a:solidFill>
                <a:schemeClr val="dk1"/>
              </a:solidFill>
              <a:effectLst/>
              <a:latin typeface="+mn-lt"/>
              <a:ea typeface="+mn-ea"/>
              <a:cs typeface="+mn-cs"/>
            </a:rPr>
            <a:t>Om fastighetsägaren önskar reservera platser för verksamma/boende/besökare kan reduktion för samnyttjande alltså inte tillämpas. Undantaget är platser som reserveras för bilpoolsbilar.</a:t>
          </a:r>
        </a:p>
      </xdr:txBody>
    </xdr:sp>
    <xdr:clientData/>
  </xdr:oneCellAnchor>
  <xdr:oneCellAnchor>
    <xdr:from>
      <xdr:col>7</xdr:col>
      <xdr:colOff>438150</xdr:colOff>
      <xdr:row>34</xdr:row>
      <xdr:rowOff>19049</xdr:rowOff>
    </xdr:from>
    <xdr:ext cx="4432013" cy="1125693"/>
    <xdr:sp macro="" textlink="">
      <xdr:nvSpPr>
        <xdr:cNvPr id="4" name="textruta 3">
          <a:extLst>
            <a:ext uri="{FF2B5EF4-FFF2-40B4-BE49-F238E27FC236}">
              <a16:creationId xmlns:a16="http://schemas.microsoft.com/office/drawing/2014/main" id="{00000000-0008-0000-0800-000004000000}"/>
            </a:ext>
          </a:extLst>
        </xdr:cNvPr>
        <xdr:cNvSpPr txBox="1"/>
      </xdr:nvSpPr>
      <xdr:spPr>
        <a:xfrm>
          <a:off x="7120890" y="6015989"/>
          <a:ext cx="4432013" cy="112569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1100"/>
            <a:t>Eftersom platserna ska samnyttjas, och därmed inte får reserveras för någon typ av användare, är det inte längre relevant att skilja på parkeringsefterfrågan för bostäder, olika typer av verksamheter samt besökande. Därför presenteras</a:t>
          </a:r>
          <a:r>
            <a:rPr lang="sv-SE" sz="1100" baseline="0"/>
            <a:t> endast den totala parkeringsefterfrågan för alla platser som ska samnyttjas. Observera att bilpoolsplatser inte kan samnyttjas. </a:t>
          </a:r>
          <a:endParaRPr lang="sv-SE" sz="1100"/>
        </a:p>
      </xdr:txBody>
    </xdr:sp>
    <xdr:clientData/>
  </xdr:oneCellAnchor>
  <xdr:twoCellAnchor>
    <xdr:from>
      <xdr:col>4</xdr:col>
      <xdr:colOff>371475</xdr:colOff>
      <xdr:row>33</xdr:row>
      <xdr:rowOff>76200</xdr:rowOff>
    </xdr:from>
    <xdr:to>
      <xdr:col>7</xdr:col>
      <xdr:colOff>438150</xdr:colOff>
      <xdr:row>35</xdr:row>
      <xdr:rowOff>85819</xdr:rowOff>
    </xdr:to>
    <xdr:grpSp>
      <xdr:nvGrpSpPr>
        <xdr:cNvPr id="15" name="Grupp 14">
          <a:extLst>
            <a:ext uri="{FF2B5EF4-FFF2-40B4-BE49-F238E27FC236}">
              <a16:creationId xmlns:a16="http://schemas.microsoft.com/office/drawing/2014/main" id="{00000000-0008-0000-0800-00000F000000}"/>
            </a:ext>
          </a:extLst>
        </xdr:cNvPr>
        <xdr:cNvGrpSpPr/>
      </xdr:nvGrpSpPr>
      <xdr:grpSpPr>
        <a:xfrm>
          <a:off x="5441950" y="6629400"/>
          <a:ext cx="1892300" cy="393794"/>
          <a:chOff x="5143500" y="5867400"/>
          <a:chExt cx="1895475" cy="581119"/>
        </a:xfrm>
      </xdr:grpSpPr>
      <xdr:cxnSp macro="">
        <xdr:nvCxnSpPr>
          <xdr:cNvPr id="6" name="Vinklad  5">
            <a:extLst>
              <a:ext uri="{FF2B5EF4-FFF2-40B4-BE49-F238E27FC236}">
                <a16:creationId xmlns:a16="http://schemas.microsoft.com/office/drawing/2014/main" id="{00000000-0008-0000-0800-000006000000}"/>
              </a:ext>
            </a:extLst>
          </xdr:cNvPr>
          <xdr:cNvCxnSpPr/>
        </xdr:nvCxnSpPr>
        <xdr:spPr>
          <a:xfrm>
            <a:off x="5143500" y="5867400"/>
            <a:ext cx="1895475" cy="581119"/>
          </a:xfrm>
          <a:prstGeom prst="bentConnector3">
            <a:avLst>
              <a:gd name="adj1" fmla="val 85678"/>
            </a:avLst>
          </a:prstGeom>
          <a:ln w="25400">
            <a:tailEnd type="arrow"/>
          </a:ln>
        </xdr:spPr>
        <xdr:style>
          <a:lnRef idx="1">
            <a:schemeClr val="accent3"/>
          </a:lnRef>
          <a:fillRef idx="0">
            <a:schemeClr val="accent3"/>
          </a:fillRef>
          <a:effectRef idx="0">
            <a:schemeClr val="accent3"/>
          </a:effectRef>
          <a:fontRef idx="minor">
            <a:schemeClr val="tx1"/>
          </a:fontRef>
        </xdr:style>
      </xdr:cxnSp>
      <xdr:cxnSp macro="">
        <xdr:nvCxnSpPr>
          <xdr:cNvPr id="12" name="Rak 11">
            <a:extLst>
              <a:ext uri="{FF2B5EF4-FFF2-40B4-BE49-F238E27FC236}">
                <a16:creationId xmlns:a16="http://schemas.microsoft.com/office/drawing/2014/main" id="{00000000-0008-0000-0800-00000C000000}"/>
              </a:ext>
            </a:extLst>
          </xdr:cNvPr>
          <xdr:cNvCxnSpPr/>
        </xdr:nvCxnSpPr>
        <xdr:spPr>
          <a:xfrm>
            <a:off x="5153025" y="5876925"/>
            <a:ext cx="0" cy="104775"/>
          </a:xfrm>
          <a:prstGeom prst="line">
            <a:avLst/>
          </a:prstGeom>
          <a:ln w="25400"/>
        </xdr:spPr>
        <xdr:style>
          <a:lnRef idx="1">
            <a:schemeClr val="accent3"/>
          </a:lnRef>
          <a:fillRef idx="0">
            <a:schemeClr val="accent3"/>
          </a:fillRef>
          <a:effectRef idx="0">
            <a:schemeClr val="accent3"/>
          </a:effectRef>
          <a:fontRef idx="minor">
            <a:schemeClr val="tx1"/>
          </a:fontRef>
        </xdr:style>
      </xdr:cxnSp>
    </xdr:grpSp>
    <xdr:clientData/>
  </xdr:twoCellAnchor>
  <xdr:twoCellAnchor editAs="oneCell">
    <xdr:from>
      <xdr:col>0</xdr:col>
      <xdr:colOff>0</xdr:colOff>
      <xdr:row>0</xdr:row>
      <xdr:rowOff>22860</xdr:rowOff>
    </xdr:from>
    <xdr:to>
      <xdr:col>0</xdr:col>
      <xdr:colOff>815340</xdr:colOff>
      <xdr:row>3</xdr:row>
      <xdr:rowOff>30480</xdr:rowOff>
    </xdr:to>
    <xdr:pic>
      <xdr:nvPicPr>
        <xdr:cNvPr id="8" name="Bild 55" descr="nytt stadsvapen för A4">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815340" cy="556260"/>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4"/>
  <sheetViews>
    <sheetView tabSelected="1" workbookViewId="0">
      <selection activeCell="B1" sqref="B1"/>
    </sheetView>
  </sheetViews>
  <sheetFormatPr defaultRowHeight="15" x14ac:dyDescent="0.25"/>
  <cols>
    <col min="1" max="1" width="22.140625" customWidth="1"/>
    <col min="2" max="2" width="89.42578125" customWidth="1"/>
    <col min="15" max="15" width="10.140625" bestFit="1" customWidth="1"/>
  </cols>
  <sheetData>
    <row r="2" spans="1:18" ht="18" x14ac:dyDescent="0.25">
      <c r="F2" s="17" t="s">
        <v>424</v>
      </c>
    </row>
    <row r="4" spans="1:18" ht="22.5" x14ac:dyDescent="0.3">
      <c r="A4" s="16" t="s">
        <v>59</v>
      </c>
    </row>
    <row r="5" spans="1:18" x14ac:dyDescent="0.25">
      <c r="B5" s="37" t="s">
        <v>442</v>
      </c>
    </row>
    <row r="6" spans="1:18" ht="18" x14ac:dyDescent="0.25">
      <c r="A6" s="17" t="s">
        <v>143</v>
      </c>
    </row>
    <row r="7" spans="1:18" x14ac:dyDescent="0.25">
      <c r="A7" t="s">
        <v>391</v>
      </c>
    </row>
    <row r="9" spans="1:18" x14ac:dyDescent="0.25">
      <c r="A9" s="65" t="s">
        <v>389</v>
      </c>
      <c r="B9" s="66" t="s">
        <v>390</v>
      </c>
      <c r="C9" s="66"/>
      <c r="D9" s="67"/>
      <c r="E9" s="67"/>
      <c r="F9" s="67"/>
      <c r="G9" s="67"/>
      <c r="H9" s="67"/>
      <c r="I9" s="67"/>
      <c r="J9" s="67"/>
      <c r="K9" s="67"/>
      <c r="L9" s="67"/>
      <c r="M9" s="67"/>
      <c r="N9" s="67"/>
      <c r="O9" s="67"/>
      <c r="P9" s="67"/>
      <c r="Q9" s="67"/>
      <c r="R9" s="68"/>
    </row>
    <row r="10" spans="1:18" x14ac:dyDescent="0.25">
      <c r="A10" s="62" t="s">
        <v>145</v>
      </c>
      <c r="B10" s="71" t="s">
        <v>144</v>
      </c>
      <c r="C10" s="37"/>
      <c r="D10" s="37"/>
      <c r="E10" s="37"/>
      <c r="F10" s="37"/>
      <c r="G10" s="37"/>
      <c r="H10" s="37"/>
      <c r="I10" s="37"/>
      <c r="J10" s="37"/>
      <c r="K10" s="37"/>
      <c r="L10" s="37"/>
      <c r="M10" s="37"/>
      <c r="N10" s="37"/>
      <c r="O10" s="37"/>
      <c r="P10" s="37"/>
      <c r="Q10" s="37"/>
      <c r="R10" s="59"/>
    </row>
    <row r="11" spans="1:18" ht="30" x14ac:dyDescent="0.25">
      <c r="A11" s="62" t="s">
        <v>318</v>
      </c>
      <c r="B11" s="71" t="s">
        <v>319</v>
      </c>
      <c r="C11" s="37"/>
      <c r="D11" s="37"/>
      <c r="E11" s="37"/>
      <c r="F11" s="37"/>
      <c r="G11" s="37"/>
      <c r="H11" s="37"/>
      <c r="I11" s="37"/>
      <c r="J11" s="37"/>
      <c r="K11" s="37"/>
      <c r="L11" s="37"/>
      <c r="M11" s="37"/>
      <c r="N11" s="37"/>
      <c r="O11" s="37"/>
      <c r="P11" s="37"/>
      <c r="Q11" s="37"/>
      <c r="R11" s="59"/>
    </row>
    <row r="12" spans="1:18" ht="33" customHeight="1" x14ac:dyDescent="0.25">
      <c r="A12" s="62" t="s">
        <v>146</v>
      </c>
      <c r="B12" s="71" t="s">
        <v>151</v>
      </c>
      <c r="C12" s="37"/>
      <c r="D12" s="37"/>
      <c r="E12" s="37"/>
      <c r="F12" s="37"/>
      <c r="G12" s="37"/>
      <c r="H12" s="37"/>
      <c r="I12" s="37"/>
      <c r="J12" s="37"/>
      <c r="K12" s="37"/>
      <c r="L12" s="37"/>
      <c r="M12" s="37"/>
      <c r="N12" s="37"/>
      <c r="O12" s="37"/>
      <c r="P12" s="37"/>
      <c r="Q12" s="37"/>
      <c r="R12" s="59"/>
    </row>
    <row r="13" spans="1:18" ht="30" x14ac:dyDescent="0.25">
      <c r="A13" s="62" t="s">
        <v>147</v>
      </c>
      <c r="B13" s="71" t="s">
        <v>150</v>
      </c>
      <c r="C13" s="37"/>
      <c r="D13" s="37"/>
      <c r="E13" s="37"/>
      <c r="F13" s="37"/>
      <c r="G13" s="37"/>
      <c r="H13" s="37"/>
      <c r="I13" s="37"/>
      <c r="J13" s="37"/>
      <c r="K13" s="37"/>
      <c r="L13" s="37"/>
      <c r="M13" s="37"/>
      <c r="N13" s="37"/>
      <c r="O13" s="37"/>
      <c r="P13" s="37"/>
      <c r="Q13" s="37"/>
      <c r="R13" s="59"/>
    </row>
    <row r="14" spans="1:18" ht="30" x14ac:dyDescent="0.25">
      <c r="A14" s="62" t="s">
        <v>148</v>
      </c>
      <c r="B14" s="71" t="s">
        <v>337</v>
      </c>
      <c r="C14" s="37"/>
      <c r="D14" s="37"/>
      <c r="E14" s="37"/>
      <c r="F14" s="37"/>
      <c r="G14" s="37"/>
      <c r="H14" s="37"/>
      <c r="I14" s="37"/>
      <c r="J14" s="37"/>
      <c r="K14" s="37"/>
      <c r="L14" s="37"/>
      <c r="M14" s="37"/>
      <c r="N14" s="37"/>
      <c r="O14" s="37"/>
      <c r="P14" s="37"/>
      <c r="Q14" s="37"/>
      <c r="R14" s="59"/>
    </row>
    <row r="15" spans="1:18" ht="30" x14ac:dyDescent="0.25">
      <c r="A15" s="62" t="s">
        <v>149</v>
      </c>
      <c r="B15" s="71" t="s">
        <v>338</v>
      </c>
      <c r="C15" s="37"/>
      <c r="D15" s="37"/>
      <c r="E15" s="37"/>
      <c r="F15" s="37"/>
      <c r="G15" s="37"/>
      <c r="H15" s="37"/>
      <c r="I15" s="37"/>
      <c r="J15" s="37"/>
      <c r="K15" s="37"/>
      <c r="L15" s="37"/>
      <c r="M15" s="37"/>
      <c r="N15" s="37"/>
      <c r="O15" s="37"/>
      <c r="P15" s="37"/>
      <c r="Q15" s="37"/>
      <c r="R15" s="59"/>
    </row>
    <row r="16" spans="1:18" ht="30" x14ac:dyDescent="0.25">
      <c r="A16" s="62" t="s">
        <v>314</v>
      </c>
      <c r="B16" s="71" t="s">
        <v>315</v>
      </c>
      <c r="C16" s="37"/>
      <c r="D16" s="37"/>
      <c r="E16" s="37"/>
      <c r="F16" s="37"/>
      <c r="G16" s="37"/>
      <c r="H16" s="37"/>
      <c r="I16" s="37"/>
      <c r="J16" s="37"/>
      <c r="K16" s="37"/>
      <c r="L16" s="37"/>
      <c r="M16" s="37"/>
      <c r="N16" s="37"/>
      <c r="O16" s="37"/>
      <c r="P16" s="37"/>
      <c r="Q16" s="37"/>
      <c r="R16" s="59"/>
    </row>
    <row r="17" spans="1:18" ht="30.75" customHeight="1" x14ac:dyDescent="0.25">
      <c r="A17" s="63" t="s">
        <v>316</v>
      </c>
      <c r="B17" s="72" t="s">
        <v>317</v>
      </c>
      <c r="C17" s="37"/>
      <c r="D17" s="37"/>
      <c r="E17" s="37"/>
      <c r="F17" s="37"/>
      <c r="G17" s="37"/>
      <c r="H17" s="37"/>
      <c r="I17" s="37"/>
      <c r="J17" s="37"/>
      <c r="K17" s="37"/>
      <c r="L17" s="37"/>
      <c r="M17" s="37"/>
      <c r="N17" s="37"/>
      <c r="O17" s="37"/>
      <c r="P17" s="37"/>
      <c r="Q17" s="37"/>
      <c r="R17" s="59"/>
    </row>
    <row r="18" spans="1:18" x14ac:dyDescent="0.25">
      <c r="A18" s="62" t="s">
        <v>152</v>
      </c>
      <c r="B18" s="71" t="s">
        <v>154</v>
      </c>
      <c r="C18" s="37"/>
      <c r="D18" s="37"/>
      <c r="E18" s="37"/>
      <c r="F18" s="37"/>
      <c r="G18" s="37"/>
      <c r="H18" s="37"/>
      <c r="I18" s="37"/>
      <c r="J18" s="37"/>
      <c r="K18" s="37"/>
      <c r="L18" s="37"/>
      <c r="M18" s="37"/>
      <c r="N18" s="37"/>
      <c r="O18" s="37"/>
      <c r="P18" s="37"/>
      <c r="Q18" s="37"/>
      <c r="R18" s="59"/>
    </row>
    <row r="19" spans="1:18" x14ac:dyDescent="0.25">
      <c r="A19" s="64" t="s">
        <v>153</v>
      </c>
      <c r="B19" s="73" t="s">
        <v>155</v>
      </c>
      <c r="C19" s="60"/>
      <c r="D19" s="60"/>
      <c r="E19" s="60"/>
      <c r="F19" s="60"/>
      <c r="G19" s="60"/>
      <c r="H19" s="60"/>
      <c r="I19" s="60"/>
      <c r="J19" s="60"/>
      <c r="K19" s="60"/>
      <c r="L19" s="60"/>
      <c r="M19" s="60"/>
      <c r="N19" s="60"/>
      <c r="O19" s="60"/>
      <c r="P19" s="60"/>
      <c r="Q19" s="60"/>
      <c r="R19" s="61"/>
    </row>
    <row r="21" spans="1:18" ht="18" x14ac:dyDescent="0.25">
      <c r="A21" s="17" t="s">
        <v>258</v>
      </c>
    </row>
    <row r="22" spans="1:18" ht="18" x14ac:dyDescent="0.25">
      <c r="A22" s="17"/>
    </row>
    <row r="23" spans="1:18" ht="18" x14ac:dyDescent="0.25">
      <c r="A23" s="17"/>
    </row>
    <row r="24" spans="1:18" ht="18" x14ac:dyDescent="0.25">
      <c r="A24" s="17"/>
    </row>
  </sheetData>
  <sheetProtection algorithmName="SHA-512" hashValue="mf+m2sHYhLtLMqTO1xk9+CIXrkFNCmnKU6Or95fANovsjbctOE2ghwbW8h/Ulu8DhGKdfynp/b8w/4Yr5wVGQQ==" saltValue="1HLmisKGHZbGZ8BHE3sQlA==" spinCount="100000" sheet="1" objects="1" scenarios="1"/>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L79"/>
  <sheetViews>
    <sheetView zoomScaleNormal="100" workbookViewId="0">
      <selection activeCell="A4" sqref="A4"/>
    </sheetView>
  </sheetViews>
  <sheetFormatPr defaultColWidth="9.140625" defaultRowHeight="15" x14ac:dyDescent="0.25"/>
  <cols>
    <col min="1" max="1" width="51.85546875" style="43" customWidth="1"/>
    <col min="2" max="9" width="9.140625" style="43"/>
    <col min="10" max="10" width="9.140625" style="43" customWidth="1"/>
    <col min="11" max="16384" width="9.140625" style="43"/>
  </cols>
  <sheetData>
    <row r="4" spans="1:2" ht="18" x14ac:dyDescent="0.25">
      <c r="A4" s="47" t="s">
        <v>240</v>
      </c>
    </row>
    <row r="5" spans="1:2" x14ac:dyDescent="0.25">
      <c r="A5" s="45" t="s">
        <v>114</v>
      </c>
    </row>
    <row r="6" spans="1:2" x14ac:dyDescent="0.25">
      <c r="A6" s="46" t="s">
        <v>115</v>
      </c>
    </row>
    <row r="7" spans="1:2" x14ac:dyDescent="0.25">
      <c r="A7" s="46" t="s">
        <v>408</v>
      </c>
    </row>
    <row r="9" spans="1:2" x14ac:dyDescent="0.25">
      <c r="A9" s="43" t="s">
        <v>81</v>
      </c>
      <c r="B9" s="46">
        <f>Förutsättningar!B11</f>
        <v>0</v>
      </c>
    </row>
    <row r="16" spans="1:2" x14ac:dyDescent="0.25">
      <c r="A16" s="74"/>
    </row>
    <row r="19" spans="1:12" x14ac:dyDescent="0.25">
      <c r="A19" s="43" t="s">
        <v>246</v>
      </c>
      <c r="B19" s="46">
        <f>'Red MM'!H7+'Red MM'!H11+'Red MM'!H14</f>
        <v>0</v>
      </c>
      <c r="C19" s="43" t="s">
        <v>241</v>
      </c>
    </row>
    <row r="20" spans="1:12" x14ac:dyDescent="0.25">
      <c r="C20" s="46">
        <f>'Red MM'!H7</f>
        <v>0</v>
      </c>
      <c r="D20" s="43" t="s">
        <v>262</v>
      </c>
    </row>
    <row r="21" spans="1:12" x14ac:dyDescent="0.25">
      <c r="C21" s="46">
        <f>'Red MM'!H14</f>
        <v>0</v>
      </c>
      <c r="D21" s="43" t="s">
        <v>264</v>
      </c>
    </row>
    <row r="22" spans="1:12" x14ac:dyDescent="0.25">
      <c r="C22" s="46">
        <f>'Red MM'!H11</f>
        <v>0</v>
      </c>
      <c r="D22" s="43" t="s">
        <v>263</v>
      </c>
    </row>
    <row r="23" spans="1:12" x14ac:dyDescent="0.25">
      <c r="A23" s="43" t="s">
        <v>243</v>
      </c>
      <c r="B23" s="45"/>
      <c r="C23" s="43" t="s">
        <v>245</v>
      </c>
      <c r="K23" s="46">
        <f>B19-B23</f>
        <v>0</v>
      </c>
      <c r="L23" s="43" t="s">
        <v>244</v>
      </c>
    </row>
    <row r="25" spans="1:12" x14ac:dyDescent="0.25">
      <c r="A25" s="43" t="s">
        <v>247</v>
      </c>
      <c r="B25" s="46">
        <f>'Red MM'!I8</f>
        <v>0</v>
      </c>
      <c r="C25" s="43" t="s">
        <v>242</v>
      </c>
    </row>
    <row r="26" spans="1:12" x14ac:dyDescent="0.25">
      <c r="A26" s="43" t="s">
        <v>243</v>
      </c>
      <c r="B26" s="45"/>
      <c r="C26" s="43" t="s">
        <v>245</v>
      </c>
      <c r="K26" s="46">
        <f>B25-B26</f>
        <v>0</v>
      </c>
      <c r="L26" s="43" t="s">
        <v>244</v>
      </c>
    </row>
    <row r="28" spans="1:12" x14ac:dyDescent="0.25">
      <c r="A28" s="43" t="s">
        <v>249</v>
      </c>
      <c r="B28" s="46">
        <f>ROUNDUP(('Red MM'!B42+'Red MM'!B44),0)</f>
        <v>0</v>
      </c>
      <c r="C28" s="43" t="s">
        <v>248</v>
      </c>
    </row>
    <row r="29" spans="1:12" x14ac:dyDescent="0.25">
      <c r="A29" s="43" t="s">
        <v>243</v>
      </c>
      <c r="B29" s="45"/>
      <c r="C29" s="43" t="s">
        <v>245</v>
      </c>
      <c r="K29" s="46">
        <f>B28-B29</f>
        <v>0</v>
      </c>
      <c r="L29" s="43" t="s">
        <v>244</v>
      </c>
    </row>
    <row r="31" spans="1:12" x14ac:dyDescent="0.25">
      <c r="A31" s="43" t="s">
        <v>250</v>
      </c>
      <c r="B31" s="46">
        <f>ROUNDUP(('Red MM'!B38+'Red MM'!B40),0)</f>
        <v>0</v>
      </c>
      <c r="C31" s="43" t="s">
        <v>248</v>
      </c>
    </row>
    <row r="32" spans="1:12" x14ac:dyDescent="0.25">
      <c r="A32" s="43" t="s">
        <v>243</v>
      </c>
      <c r="B32" s="45"/>
      <c r="C32" s="43" t="s">
        <v>245</v>
      </c>
      <c r="K32" s="46">
        <f>B31-B32</f>
        <v>0</v>
      </c>
      <c r="L32" s="43" t="s">
        <v>244</v>
      </c>
    </row>
    <row r="34" spans="1:12" x14ac:dyDescent="0.25">
      <c r="A34" s="43" t="s">
        <v>251</v>
      </c>
      <c r="B34" s="46">
        <f>ROUNDUP(('Red MM'!B46+'Red MM'!B48+'Red MM'!B50+'Red MM'!B52),0)</f>
        <v>0</v>
      </c>
      <c r="C34" s="43" t="s">
        <v>248</v>
      </c>
    </row>
    <row r="35" spans="1:12" x14ac:dyDescent="0.25">
      <c r="A35" s="43" t="s">
        <v>243</v>
      </c>
      <c r="B35" s="45"/>
      <c r="C35" s="43" t="s">
        <v>245</v>
      </c>
      <c r="K35" s="46">
        <f>B34-B35</f>
        <v>0</v>
      </c>
      <c r="L35" s="43" t="s">
        <v>244</v>
      </c>
    </row>
    <row r="37" spans="1:12" x14ac:dyDescent="0.25">
      <c r="A37" s="43" t="s">
        <v>252</v>
      </c>
      <c r="B37" s="46">
        <f>ROUNDUP(('Red MM'!B54+'Red MM'!B55+'Red MM'!B56),0)</f>
        <v>0</v>
      </c>
      <c r="C37" s="43" t="s">
        <v>248</v>
      </c>
    </row>
    <row r="38" spans="1:12" x14ac:dyDescent="0.25">
      <c r="A38" s="43" t="s">
        <v>243</v>
      </c>
      <c r="B38" s="45"/>
      <c r="C38" s="43" t="s">
        <v>245</v>
      </c>
      <c r="K38" s="46">
        <f>B37-B38</f>
        <v>0</v>
      </c>
      <c r="L38" s="43" t="s">
        <v>244</v>
      </c>
    </row>
    <row r="40" spans="1:12" x14ac:dyDescent="0.25">
      <c r="A40" s="43" t="s">
        <v>253</v>
      </c>
      <c r="B40" s="46">
        <f>ROUNDUP('Red MM'!B58,0)</f>
        <v>0</v>
      </c>
      <c r="C40" s="43" t="s">
        <v>248</v>
      </c>
    </row>
    <row r="41" spans="1:12" x14ac:dyDescent="0.25">
      <c r="A41" s="43" t="s">
        <v>243</v>
      </c>
      <c r="B41" s="45"/>
      <c r="C41" s="43" t="s">
        <v>245</v>
      </c>
      <c r="K41" s="46">
        <f>B40-B41</f>
        <v>0</v>
      </c>
      <c r="L41" s="43" t="s">
        <v>244</v>
      </c>
    </row>
    <row r="43" spans="1:12" x14ac:dyDescent="0.25">
      <c r="A43" s="43" t="s">
        <v>254</v>
      </c>
      <c r="B43" s="46">
        <f>ROUNDUP(('Red MM'!B59+'Red MM'!B60),0)</f>
        <v>0</v>
      </c>
      <c r="C43" s="43" t="s">
        <v>248</v>
      </c>
    </row>
    <row r="44" spans="1:12" x14ac:dyDescent="0.25">
      <c r="A44" s="43" t="s">
        <v>243</v>
      </c>
      <c r="B44" s="45"/>
      <c r="C44" s="43" t="s">
        <v>245</v>
      </c>
      <c r="K44" s="46">
        <f>B43-B44</f>
        <v>0</v>
      </c>
      <c r="L44" s="43" t="s">
        <v>244</v>
      </c>
    </row>
    <row r="46" spans="1:12" ht="18" x14ac:dyDescent="0.25">
      <c r="A46" s="47" t="s">
        <v>220</v>
      </c>
    </row>
    <row r="48" spans="1:12" ht="30" x14ac:dyDescent="0.25">
      <c r="B48" s="75" t="s">
        <v>217</v>
      </c>
      <c r="C48" s="75" t="s">
        <v>218</v>
      </c>
      <c r="D48" s="75" t="s">
        <v>219</v>
      </c>
      <c r="E48" s="75" t="s">
        <v>208</v>
      </c>
    </row>
    <row r="49" spans="1:5" x14ac:dyDescent="0.25">
      <c r="A49" s="76" t="s">
        <v>209</v>
      </c>
      <c r="B49" s="77">
        <f>B72*$B23</f>
        <v>0</v>
      </c>
      <c r="C49" s="77">
        <f>C72*$B23</f>
        <v>0</v>
      </c>
      <c r="D49" s="77">
        <f>D72*$B23</f>
        <v>0</v>
      </c>
      <c r="E49" s="77">
        <f>E72*$B23</f>
        <v>0</v>
      </c>
    </row>
    <row r="50" spans="1:5" x14ac:dyDescent="0.25">
      <c r="A50" s="76" t="s">
        <v>210</v>
      </c>
      <c r="B50" s="77">
        <f>B73*$B26</f>
        <v>0</v>
      </c>
      <c r="C50" s="77">
        <f>C73*$B26</f>
        <v>0</v>
      </c>
      <c r="D50" s="77">
        <f>D73*$B26</f>
        <v>0</v>
      </c>
      <c r="E50" s="77">
        <f>E73*$B26</f>
        <v>0</v>
      </c>
    </row>
    <row r="51" spans="1:5" x14ac:dyDescent="0.25">
      <c r="A51" s="76" t="s">
        <v>211</v>
      </c>
      <c r="B51" s="77">
        <f>B74*$B29</f>
        <v>0</v>
      </c>
      <c r="C51" s="77">
        <f>C74*$B29</f>
        <v>0</v>
      </c>
      <c r="D51" s="77">
        <f>D74*$B29</f>
        <v>0</v>
      </c>
      <c r="E51" s="77">
        <f>E74*$B29</f>
        <v>0</v>
      </c>
    </row>
    <row r="52" spans="1:5" x14ac:dyDescent="0.25">
      <c r="A52" s="76" t="s">
        <v>212</v>
      </c>
      <c r="B52" s="77">
        <f>B75*$B32</f>
        <v>0</v>
      </c>
      <c r="C52" s="77">
        <f>C75*$B32</f>
        <v>0</v>
      </c>
      <c r="D52" s="77">
        <f>D75*$B32</f>
        <v>0</v>
      </c>
      <c r="E52" s="77">
        <f>E75*$B32</f>
        <v>0</v>
      </c>
    </row>
    <row r="53" spans="1:5" x14ac:dyDescent="0.25">
      <c r="A53" s="76" t="s">
        <v>213</v>
      </c>
      <c r="B53" s="77">
        <f>B76*$B35</f>
        <v>0</v>
      </c>
      <c r="C53" s="77">
        <f>C76*$B35</f>
        <v>0</v>
      </c>
      <c r="D53" s="77">
        <f>D76*$B35</f>
        <v>0</v>
      </c>
      <c r="E53" s="77">
        <f>E76*$B35</f>
        <v>0</v>
      </c>
    </row>
    <row r="54" spans="1:5" x14ac:dyDescent="0.25">
      <c r="A54" s="76" t="s">
        <v>214</v>
      </c>
      <c r="B54" s="77">
        <f>B77*$B38</f>
        <v>0</v>
      </c>
      <c r="C54" s="77">
        <f>C77*$B38</f>
        <v>0</v>
      </c>
      <c r="D54" s="77">
        <f>D77*$B38</f>
        <v>0</v>
      </c>
      <c r="E54" s="77">
        <f>E77*$B38</f>
        <v>0</v>
      </c>
    </row>
    <row r="55" spans="1:5" x14ac:dyDescent="0.25">
      <c r="A55" s="76" t="s">
        <v>215</v>
      </c>
      <c r="B55" s="77">
        <f>B78*$B41</f>
        <v>0</v>
      </c>
      <c r="C55" s="77">
        <f>C78*$B41</f>
        <v>0</v>
      </c>
      <c r="D55" s="77">
        <f>D78*$B41</f>
        <v>0</v>
      </c>
      <c r="E55" s="77">
        <f>E78*$B41</f>
        <v>0</v>
      </c>
    </row>
    <row r="56" spans="1:5" x14ac:dyDescent="0.25">
      <c r="A56" s="76" t="s">
        <v>216</v>
      </c>
      <c r="B56" s="77">
        <f>B79*$B44</f>
        <v>0</v>
      </c>
      <c r="C56" s="77">
        <f>C79*$B44</f>
        <v>0</v>
      </c>
      <c r="D56" s="77">
        <f>D79*$B44</f>
        <v>0</v>
      </c>
      <c r="E56" s="77">
        <f>E79*$B44</f>
        <v>0</v>
      </c>
    </row>
    <row r="57" spans="1:5" x14ac:dyDescent="0.25">
      <c r="A57" s="76" t="s">
        <v>233</v>
      </c>
      <c r="B57" s="78">
        <f>SUM(B49:B56)</f>
        <v>0</v>
      </c>
      <c r="C57" s="78">
        <f t="shared" ref="C57:E57" si="0">SUM(C49:C56)</f>
        <v>0</v>
      </c>
      <c r="D57" s="78">
        <f t="shared" si="0"/>
        <v>0</v>
      </c>
      <c r="E57" s="78">
        <f t="shared" si="0"/>
        <v>0</v>
      </c>
    </row>
    <row r="59" spans="1:5" x14ac:dyDescent="0.25">
      <c r="A59" s="79" t="s">
        <v>234</v>
      </c>
      <c r="B59" s="76" t="str">
        <f>IF(C61=B57,B48,IF(C61=C57,C48,IF(C61=D57,D48,IF(C61=E57,E48,0))))</f>
        <v xml:space="preserve">Vardag kl 10-16 </v>
      </c>
    </row>
    <row r="61" spans="1:5" x14ac:dyDescent="0.25">
      <c r="A61" s="79" t="s">
        <v>255</v>
      </c>
      <c r="C61" s="80">
        <f>MAX(B57,C57,D57,E57)</f>
        <v>0</v>
      </c>
      <c r="D61" s="43" t="s">
        <v>257</v>
      </c>
    </row>
    <row r="62" spans="1:5" x14ac:dyDescent="0.25">
      <c r="A62" s="79" t="s">
        <v>256</v>
      </c>
      <c r="C62" s="80">
        <f>K23+K26+K29+K32+K35+K38+K41+K44</f>
        <v>0</v>
      </c>
      <c r="D62" s="43" t="s">
        <v>235</v>
      </c>
    </row>
    <row r="63" spans="1:5" x14ac:dyDescent="0.25">
      <c r="A63" s="81" t="s">
        <v>302</v>
      </c>
      <c r="C63" s="80">
        <f>'Red MM'!I25</f>
        <v>0</v>
      </c>
      <c r="D63" s="43" t="s">
        <v>303</v>
      </c>
    </row>
    <row r="64" spans="1:5" x14ac:dyDescent="0.25">
      <c r="A64" s="79" t="s">
        <v>266</v>
      </c>
      <c r="B64" s="80">
        <f>'Bil grundtal'!B39</f>
        <v>0</v>
      </c>
      <c r="C64" s="43" t="s">
        <v>261</v>
      </c>
    </row>
    <row r="66" spans="1:5" x14ac:dyDescent="0.25">
      <c r="A66" s="43" t="s">
        <v>435</v>
      </c>
      <c r="C66" s="80">
        <f>C61+C62+C63+B64</f>
        <v>0</v>
      </c>
      <c r="D66" s="43" t="s">
        <v>235</v>
      </c>
    </row>
    <row r="67" spans="1:5" x14ac:dyDescent="0.25">
      <c r="A67" s="43" t="s">
        <v>434</v>
      </c>
      <c r="B67" s="80">
        <f>'Red MM'!H24-C61-B64-C62</f>
        <v>0</v>
      </c>
      <c r="C67" s="43" t="s">
        <v>268</v>
      </c>
    </row>
    <row r="69" spans="1:5" ht="18" x14ac:dyDescent="0.25">
      <c r="A69" s="47" t="s">
        <v>236</v>
      </c>
    </row>
    <row r="70" spans="1:5" x14ac:dyDescent="0.25">
      <c r="A70" s="43" t="s">
        <v>238</v>
      </c>
    </row>
    <row r="71" spans="1:5" ht="30" x14ac:dyDescent="0.25">
      <c r="A71" s="75" t="s">
        <v>207</v>
      </c>
      <c r="B71" s="75" t="s">
        <v>217</v>
      </c>
      <c r="C71" s="75" t="s">
        <v>218</v>
      </c>
      <c r="D71" s="75" t="s">
        <v>219</v>
      </c>
      <c r="E71" s="75" t="s">
        <v>208</v>
      </c>
    </row>
    <row r="72" spans="1:5" x14ac:dyDescent="0.25">
      <c r="A72" s="43" t="s">
        <v>209</v>
      </c>
      <c r="B72" s="82">
        <v>0.9</v>
      </c>
      <c r="C72" s="82">
        <v>0.9</v>
      </c>
      <c r="D72" s="82">
        <v>0.9</v>
      </c>
      <c r="E72" s="82">
        <v>0.9</v>
      </c>
    </row>
    <row r="73" spans="1:5" x14ac:dyDescent="0.25">
      <c r="A73" s="43" t="s">
        <v>210</v>
      </c>
      <c r="B73" s="82">
        <v>0.3</v>
      </c>
      <c r="C73" s="82">
        <v>0.7</v>
      </c>
      <c r="D73" s="82">
        <v>0.4</v>
      </c>
      <c r="E73" s="82">
        <v>0.5</v>
      </c>
    </row>
    <row r="74" spans="1:5" x14ac:dyDescent="0.25">
      <c r="A74" s="43" t="s">
        <v>211</v>
      </c>
      <c r="B74" s="82">
        <v>0.7</v>
      </c>
      <c r="C74" s="82">
        <v>0.1</v>
      </c>
      <c r="D74" s="82">
        <v>0.05</v>
      </c>
      <c r="E74" s="82">
        <v>0.1</v>
      </c>
    </row>
    <row r="75" spans="1:5" x14ac:dyDescent="0.25">
      <c r="A75" s="43" t="s">
        <v>212</v>
      </c>
      <c r="B75" s="82">
        <v>0.7</v>
      </c>
      <c r="C75" s="82">
        <v>0.2</v>
      </c>
      <c r="D75" s="82">
        <v>0.1</v>
      </c>
      <c r="E75" s="82">
        <v>0.2</v>
      </c>
    </row>
    <row r="76" spans="1:5" x14ac:dyDescent="0.25">
      <c r="A76" s="43" t="s">
        <v>213</v>
      </c>
      <c r="B76" s="82">
        <v>0.4</v>
      </c>
      <c r="C76" s="82">
        <v>0.7</v>
      </c>
      <c r="D76" s="82">
        <v>1</v>
      </c>
      <c r="E76" s="82">
        <v>0</v>
      </c>
    </row>
    <row r="77" spans="1:5" x14ac:dyDescent="0.25">
      <c r="A77" s="43" t="s">
        <v>214</v>
      </c>
      <c r="B77" s="82">
        <v>0.9</v>
      </c>
      <c r="C77" s="82">
        <v>0.1</v>
      </c>
      <c r="D77" s="82">
        <v>0.05</v>
      </c>
      <c r="E77" s="82">
        <v>0</v>
      </c>
    </row>
    <row r="78" spans="1:5" x14ac:dyDescent="0.25">
      <c r="A78" s="43" t="s">
        <v>215</v>
      </c>
      <c r="B78" s="82">
        <v>0.5</v>
      </c>
      <c r="C78" s="82">
        <v>0.5</v>
      </c>
      <c r="D78" s="82">
        <v>0.3</v>
      </c>
      <c r="E78" s="82">
        <v>0.8</v>
      </c>
    </row>
    <row r="79" spans="1:5" x14ac:dyDescent="0.25">
      <c r="A79" s="43" t="s">
        <v>216</v>
      </c>
      <c r="B79" s="82">
        <v>0.75</v>
      </c>
      <c r="C79" s="82">
        <v>0.4</v>
      </c>
      <c r="D79" s="82">
        <v>0.6</v>
      </c>
      <c r="E79" s="82">
        <v>0</v>
      </c>
    </row>
  </sheetData>
  <sheetProtection password="95C7" sheet="1" objects="1" scenarios="1"/>
  <protectedRanges>
    <protectedRange sqref="B23 B26 B29 B32 B35 B38 B41 B44" name="Område1"/>
  </protectedRanges>
  <conditionalFormatting sqref="C61:C63">
    <cfRule type="cellIs" dxfId="5" priority="10" operator="greaterThan">
      <formula>0</formula>
    </cfRule>
  </conditionalFormatting>
  <conditionalFormatting sqref="B64">
    <cfRule type="cellIs" dxfId="4" priority="6" operator="greaterThan">
      <formula>0</formula>
    </cfRule>
  </conditionalFormatting>
  <conditionalFormatting sqref="B67">
    <cfRule type="cellIs" dxfId="3" priority="5" operator="greaterThan">
      <formula>0</formula>
    </cfRule>
  </conditionalFormatting>
  <conditionalFormatting sqref="A7">
    <cfRule type="cellIs" dxfId="2" priority="2" operator="greaterThan">
      <formula>0</formula>
    </cfRule>
    <cfRule type="cellIs" dxfId="1" priority="3" operator="greaterThan">
      <formula>0</formula>
    </cfRule>
  </conditionalFormatting>
  <conditionalFormatting sqref="C66">
    <cfRule type="cellIs" dxfId="0" priority="1" operator="greaterThan">
      <formula>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2"/>
  <sheetViews>
    <sheetView topLeftCell="A4" workbookViewId="0">
      <selection activeCell="G15" sqref="G15"/>
    </sheetView>
  </sheetViews>
  <sheetFormatPr defaultRowHeight="15" x14ac:dyDescent="0.25"/>
  <cols>
    <col min="1" max="1" width="67.5703125" customWidth="1"/>
    <col min="8" max="8" width="12.85546875" customWidth="1"/>
  </cols>
  <sheetData>
    <row r="1" spans="1:12" x14ac:dyDescent="0.25">
      <c r="H1" s="84" t="s">
        <v>436</v>
      </c>
    </row>
    <row r="2" spans="1:12" x14ac:dyDescent="0.25">
      <c r="H2" t="s">
        <v>437</v>
      </c>
    </row>
    <row r="3" spans="1:12" x14ac:dyDescent="0.25">
      <c r="H3" t="s">
        <v>438</v>
      </c>
      <c r="I3" s="83">
        <f>(0.75-0.63)/0.63</f>
        <v>0.19047619047619047</v>
      </c>
    </row>
    <row r="4" spans="1:12" ht="15.75" x14ac:dyDescent="0.25">
      <c r="A4" s="23" t="s">
        <v>112</v>
      </c>
      <c r="H4" t="s">
        <v>439</v>
      </c>
      <c r="I4" s="83">
        <f>(0.85-0.68)/0.68</f>
        <v>0.24999999999999989</v>
      </c>
    </row>
    <row r="5" spans="1:12" ht="15.75" thickBot="1" x14ac:dyDescent="0.3">
      <c r="H5" s="19" t="s">
        <v>440</v>
      </c>
      <c r="K5" s="19" t="s">
        <v>441</v>
      </c>
    </row>
    <row r="6" spans="1:12" ht="19.5" thickBot="1" x14ac:dyDescent="0.3">
      <c r="A6" s="1" t="s">
        <v>0</v>
      </c>
      <c r="B6" s="2" t="s">
        <v>1</v>
      </c>
      <c r="C6" s="2" t="s">
        <v>2</v>
      </c>
      <c r="D6" s="2" t="s">
        <v>3</v>
      </c>
      <c r="E6" s="2" t="s">
        <v>4</v>
      </c>
      <c r="F6" s="3" t="s">
        <v>5</v>
      </c>
      <c r="H6" s="85" t="s">
        <v>2</v>
      </c>
      <c r="I6" s="85" t="s">
        <v>4</v>
      </c>
      <c r="K6" s="88" t="s">
        <v>2</v>
      </c>
      <c r="L6" s="89" t="s">
        <v>4</v>
      </c>
    </row>
    <row r="7" spans="1:12" ht="15.75" thickBot="1" x14ac:dyDescent="0.3">
      <c r="A7" s="4" t="s">
        <v>6</v>
      </c>
      <c r="B7" s="5">
        <v>7</v>
      </c>
      <c r="C7" s="5">
        <v>10.71</v>
      </c>
      <c r="D7" s="5">
        <v>8</v>
      </c>
      <c r="E7" s="5">
        <v>12.5</v>
      </c>
      <c r="F7" s="6">
        <v>13</v>
      </c>
      <c r="H7" s="86">
        <f>K7*(1+$I$3)</f>
        <v>10.714285714285714</v>
      </c>
      <c r="I7" s="86">
        <f>L7*(1+$I$4)</f>
        <v>12.5</v>
      </c>
      <c r="K7" s="90">
        <v>9</v>
      </c>
      <c r="L7" s="91">
        <v>10</v>
      </c>
    </row>
    <row r="8" spans="1:12" ht="15.75" thickBot="1" x14ac:dyDescent="0.3">
      <c r="A8" s="7" t="s">
        <v>7</v>
      </c>
      <c r="B8" s="8">
        <v>8</v>
      </c>
      <c r="C8" s="8">
        <v>11.9</v>
      </c>
      <c r="D8" s="8">
        <v>9</v>
      </c>
      <c r="E8" s="8">
        <v>13.75</v>
      </c>
      <c r="F8" s="9">
        <v>14</v>
      </c>
      <c r="H8" s="86">
        <f t="shared" ref="H8:H18" si="0">K8*(1+$I$3)</f>
        <v>11.904761904761905</v>
      </c>
      <c r="I8" s="86">
        <f t="shared" ref="I8:I18" si="1">L8*(1+$I$4)</f>
        <v>13.75</v>
      </c>
      <c r="K8" s="92">
        <v>10</v>
      </c>
      <c r="L8" s="93">
        <v>11</v>
      </c>
    </row>
    <row r="9" spans="1:12" ht="15.75" thickBot="1" x14ac:dyDescent="0.3">
      <c r="A9" s="4" t="s">
        <v>8</v>
      </c>
      <c r="B9" s="5">
        <v>0.53</v>
      </c>
      <c r="C9" s="5">
        <v>0.75</v>
      </c>
      <c r="D9" s="5">
        <v>0.55000000000000004</v>
      </c>
      <c r="E9" s="5">
        <v>0.85</v>
      </c>
      <c r="F9" s="6">
        <v>0.91</v>
      </c>
      <c r="H9" s="87">
        <v>0.75</v>
      </c>
      <c r="I9" s="87">
        <v>0.85</v>
      </c>
      <c r="K9" s="90">
        <v>0.63</v>
      </c>
      <c r="L9" s="91">
        <v>0.68</v>
      </c>
    </row>
    <row r="10" spans="1:12" ht="15.75" thickBot="1" x14ac:dyDescent="0.3">
      <c r="A10" s="10" t="s">
        <v>9</v>
      </c>
      <c r="B10" s="11">
        <v>0.23</v>
      </c>
      <c r="C10" s="11">
        <v>0.32</v>
      </c>
      <c r="D10" s="11">
        <v>0.24</v>
      </c>
      <c r="E10" s="11">
        <v>0.36</v>
      </c>
      <c r="F10" s="12">
        <v>0.4</v>
      </c>
      <c r="H10" s="86">
        <f t="shared" si="0"/>
        <v>0.32142857142857145</v>
      </c>
      <c r="I10" s="86">
        <f t="shared" si="1"/>
        <v>0.36249999999999999</v>
      </c>
      <c r="K10" s="94">
        <v>0.27</v>
      </c>
      <c r="L10" s="95">
        <v>0.28999999999999998</v>
      </c>
    </row>
    <row r="11" spans="1:12" ht="15.75" thickBot="1" x14ac:dyDescent="0.3">
      <c r="A11" s="13" t="s">
        <v>10</v>
      </c>
      <c r="B11" s="14">
        <v>0.46</v>
      </c>
      <c r="C11" s="14">
        <v>0.65</v>
      </c>
      <c r="D11" s="14">
        <v>0.48</v>
      </c>
      <c r="E11" s="14">
        <v>0.74</v>
      </c>
      <c r="F11" s="15">
        <v>0.79</v>
      </c>
      <c r="H11" s="86">
        <f t="shared" si="0"/>
        <v>0.65476190476190477</v>
      </c>
      <c r="I11" s="86">
        <f t="shared" si="1"/>
        <v>0.73749999999999993</v>
      </c>
      <c r="K11" s="96">
        <v>0.55000000000000004</v>
      </c>
      <c r="L11" s="97">
        <v>0.59</v>
      </c>
    </row>
    <row r="12" spans="1:12" ht="15.75" thickBot="1" x14ac:dyDescent="0.3">
      <c r="A12" s="10" t="s">
        <v>11</v>
      </c>
      <c r="B12" s="11">
        <v>0.69</v>
      </c>
      <c r="C12" s="11">
        <v>0.98</v>
      </c>
      <c r="D12" s="11">
        <v>0.72</v>
      </c>
      <c r="E12" s="11">
        <v>1.1000000000000001</v>
      </c>
      <c r="F12" s="12">
        <v>1.19</v>
      </c>
      <c r="H12" s="86">
        <f t="shared" si="0"/>
        <v>0.97619047619047616</v>
      </c>
      <c r="I12" s="86">
        <f t="shared" si="1"/>
        <v>1.1000000000000001</v>
      </c>
      <c r="K12" s="94">
        <v>0.82</v>
      </c>
      <c r="L12" s="95">
        <v>0.88</v>
      </c>
    </row>
    <row r="13" spans="1:12" ht="15.75" thickBot="1" x14ac:dyDescent="0.3">
      <c r="A13" s="13" t="s">
        <v>12</v>
      </c>
      <c r="B13" s="14">
        <v>0.92</v>
      </c>
      <c r="C13" s="14">
        <v>1.31</v>
      </c>
      <c r="D13" s="14">
        <v>0.96</v>
      </c>
      <c r="E13" s="14">
        <v>1.48</v>
      </c>
      <c r="F13" s="15">
        <v>1.59</v>
      </c>
      <c r="H13" s="86">
        <f t="shared" si="0"/>
        <v>1.3095238095238095</v>
      </c>
      <c r="I13" s="86">
        <f t="shared" si="1"/>
        <v>1.4749999999999999</v>
      </c>
      <c r="K13" s="96">
        <v>1.1000000000000001</v>
      </c>
      <c r="L13" s="97">
        <v>1.18</v>
      </c>
    </row>
    <row r="14" spans="1:12" ht="15.75" thickBot="1" x14ac:dyDescent="0.3">
      <c r="A14" s="7" t="s">
        <v>13</v>
      </c>
      <c r="B14" s="8">
        <v>0.57999999999999996</v>
      </c>
      <c r="C14" s="8">
        <v>0.82</v>
      </c>
      <c r="D14" s="8">
        <v>0.61</v>
      </c>
      <c r="E14" s="8">
        <v>0.94</v>
      </c>
      <c r="F14" s="9">
        <v>1</v>
      </c>
      <c r="H14" s="86">
        <f t="shared" si="0"/>
        <v>0.8214285714285714</v>
      </c>
      <c r="I14" s="86">
        <f t="shared" si="1"/>
        <v>0.9375</v>
      </c>
      <c r="K14" s="92">
        <v>0.69</v>
      </c>
      <c r="L14" s="93">
        <v>0.75</v>
      </c>
    </row>
    <row r="15" spans="1:12" ht="15.75" thickBot="1" x14ac:dyDescent="0.3">
      <c r="A15" s="13" t="s">
        <v>14</v>
      </c>
      <c r="B15" s="14">
        <v>0.25</v>
      </c>
      <c r="C15" s="14">
        <v>0.36</v>
      </c>
      <c r="D15" s="14">
        <v>0.26</v>
      </c>
      <c r="E15" s="14">
        <v>0.4</v>
      </c>
      <c r="F15" s="15">
        <v>0.44</v>
      </c>
      <c r="H15" s="86">
        <f t="shared" si="0"/>
        <v>0.35714285714285715</v>
      </c>
      <c r="I15" s="86">
        <f t="shared" si="1"/>
        <v>0.4</v>
      </c>
      <c r="K15" s="96">
        <v>0.3</v>
      </c>
      <c r="L15" s="97">
        <v>0.32</v>
      </c>
    </row>
    <row r="16" spans="1:12" ht="15.75" thickBot="1" x14ac:dyDescent="0.3">
      <c r="A16" s="10" t="s">
        <v>15</v>
      </c>
      <c r="B16" s="11">
        <v>0.51</v>
      </c>
      <c r="C16" s="11">
        <v>0.73</v>
      </c>
      <c r="D16" s="11">
        <v>0.53</v>
      </c>
      <c r="E16" s="11">
        <v>0.81</v>
      </c>
      <c r="F16" s="12">
        <v>0.87</v>
      </c>
      <c r="H16" s="86">
        <f t="shared" si="0"/>
        <v>0.72619047619047616</v>
      </c>
      <c r="I16" s="86">
        <f t="shared" si="1"/>
        <v>0.8125</v>
      </c>
      <c r="K16" s="94">
        <v>0.61</v>
      </c>
      <c r="L16" s="95">
        <v>0.65</v>
      </c>
    </row>
    <row r="17" spans="1:12" ht="15.75" thickBot="1" x14ac:dyDescent="0.3">
      <c r="A17" s="13" t="s">
        <v>16</v>
      </c>
      <c r="B17" s="14">
        <v>0.76</v>
      </c>
      <c r="C17" s="14">
        <v>1.07</v>
      </c>
      <c r="D17" s="14">
        <v>0.79</v>
      </c>
      <c r="E17" s="14">
        <v>1.21</v>
      </c>
      <c r="F17" s="15">
        <v>1.31</v>
      </c>
      <c r="H17" s="86">
        <f t="shared" si="0"/>
        <v>1.0714285714285714</v>
      </c>
      <c r="I17" s="86">
        <f t="shared" si="1"/>
        <v>1.2124999999999999</v>
      </c>
      <c r="K17" s="96">
        <v>0.9</v>
      </c>
      <c r="L17" s="97">
        <v>0.97</v>
      </c>
    </row>
    <row r="18" spans="1:12" ht="15.75" thickBot="1" x14ac:dyDescent="0.3">
      <c r="A18" s="10" t="s">
        <v>17</v>
      </c>
      <c r="B18" s="11">
        <v>1.01</v>
      </c>
      <c r="C18" s="11">
        <v>1.44</v>
      </c>
      <c r="D18" s="11">
        <v>1.06</v>
      </c>
      <c r="E18" s="11">
        <v>1.63</v>
      </c>
      <c r="F18" s="12">
        <v>1.75</v>
      </c>
      <c r="H18" s="86">
        <f t="shared" si="0"/>
        <v>1.4404761904761905</v>
      </c>
      <c r="I18" s="86">
        <f t="shared" si="1"/>
        <v>1.625</v>
      </c>
      <c r="K18" s="98">
        <v>1.21</v>
      </c>
      <c r="L18" s="99">
        <v>1.3</v>
      </c>
    </row>
    <row r="19" spans="1:12" ht="15.75" thickBot="1" x14ac:dyDescent="0.3">
      <c r="A19" s="4" t="s">
        <v>18</v>
      </c>
      <c r="B19" s="5">
        <v>0.06</v>
      </c>
      <c r="C19" s="5">
        <v>0.08</v>
      </c>
      <c r="D19" s="5">
        <v>7.0000000000000007E-2</v>
      </c>
      <c r="E19" s="5">
        <v>0.08</v>
      </c>
      <c r="F19" s="6">
        <v>0.11</v>
      </c>
    </row>
    <row r="20" spans="1:12" ht="15.75" thickBot="1" x14ac:dyDescent="0.3">
      <c r="A20" s="7" t="s">
        <v>19</v>
      </c>
      <c r="B20" s="8">
        <v>0.08</v>
      </c>
      <c r="C20" s="8">
        <v>0.1</v>
      </c>
      <c r="D20" s="8">
        <v>0.09</v>
      </c>
      <c r="E20" s="8">
        <v>0.11</v>
      </c>
      <c r="F20" s="9">
        <v>0.14000000000000001</v>
      </c>
    </row>
    <row r="21" spans="1:12" ht="15.75" thickBot="1" x14ac:dyDescent="0.3">
      <c r="A21" s="4" t="s">
        <v>20</v>
      </c>
      <c r="B21" s="5">
        <v>3</v>
      </c>
      <c r="C21" s="5">
        <v>4</v>
      </c>
      <c r="D21" s="5">
        <v>3</v>
      </c>
      <c r="E21" s="5">
        <v>4</v>
      </c>
      <c r="F21" s="6">
        <v>5</v>
      </c>
    </row>
    <row r="22" spans="1:12" ht="15.75" thickBot="1" x14ac:dyDescent="0.3">
      <c r="A22" s="7" t="s">
        <v>21</v>
      </c>
      <c r="B22" s="8">
        <v>2</v>
      </c>
      <c r="C22" s="8">
        <v>2</v>
      </c>
      <c r="D22" s="8">
        <v>2</v>
      </c>
      <c r="E22" s="8">
        <v>2</v>
      </c>
      <c r="F22" s="9">
        <v>2</v>
      </c>
    </row>
    <row r="23" spans="1:12" ht="15.75" thickBot="1" x14ac:dyDescent="0.3">
      <c r="A23" s="4" t="s">
        <v>22</v>
      </c>
      <c r="B23" s="5">
        <v>1.5</v>
      </c>
      <c r="C23" s="5">
        <v>1.6</v>
      </c>
      <c r="D23" s="5">
        <v>1.5</v>
      </c>
      <c r="E23" s="5">
        <v>1.6</v>
      </c>
      <c r="F23" s="6">
        <v>1.8</v>
      </c>
    </row>
    <row r="24" spans="1:12" ht="15.75" thickBot="1" x14ac:dyDescent="0.3">
      <c r="A24" s="7" t="s">
        <v>23</v>
      </c>
      <c r="B24" s="8">
        <v>11</v>
      </c>
      <c r="C24" s="8">
        <v>16</v>
      </c>
      <c r="D24" s="8">
        <v>11</v>
      </c>
      <c r="E24" s="8">
        <v>17</v>
      </c>
      <c r="F24" s="9">
        <v>26</v>
      </c>
    </row>
    <row r="25" spans="1:12" ht="15.75" thickBot="1" x14ac:dyDescent="0.3">
      <c r="A25" s="4" t="s">
        <v>24</v>
      </c>
      <c r="B25" s="5">
        <v>12</v>
      </c>
      <c r="C25" s="5">
        <v>18</v>
      </c>
      <c r="D25" s="5">
        <v>13</v>
      </c>
      <c r="E25" s="5">
        <v>18</v>
      </c>
      <c r="F25" s="6">
        <v>28</v>
      </c>
    </row>
    <row r="26" spans="1:12" ht="15.75" thickBot="1" x14ac:dyDescent="0.3">
      <c r="A26" s="7" t="s">
        <v>25</v>
      </c>
      <c r="B26" s="8">
        <v>9</v>
      </c>
      <c r="C26" s="8">
        <v>14</v>
      </c>
      <c r="D26" s="8">
        <v>10</v>
      </c>
      <c r="E26" s="8">
        <v>14</v>
      </c>
      <c r="F26" s="9">
        <v>22</v>
      </c>
    </row>
    <row r="27" spans="1:12" ht="15.75" thickBot="1" x14ac:dyDescent="0.3">
      <c r="A27" s="4" t="s">
        <v>26</v>
      </c>
      <c r="B27" s="5">
        <v>10</v>
      </c>
      <c r="C27" s="5">
        <v>15</v>
      </c>
      <c r="D27" s="5">
        <v>11</v>
      </c>
      <c r="E27" s="5">
        <v>16</v>
      </c>
      <c r="F27" s="6">
        <v>24</v>
      </c>
    </row>
    <row r="28" spans="1:12" ht="15.75" thickBot="1" x14ac:dyDescent="0.3">
      <c r="A28" s="7" t="s">
        <v>27</v>
      </c>
      <c r="B28" s="8">
        <v>3</v>
      </c>
      <c r="C28" s="8">
        <v>5</v>
      </c>
      <c r="D28" s="8">
        <v>3</v>
      </c>
      <c r="E28" s="8">
        <v>5</v>
      </c>
      <c r="F28" s="9">
        <v>7</v>
      </c>
    </row>
    <row r="29" spans="1:12" ht="15.75" thickBot="1" x14ac:dyDescent="0.3">
      <c r="A29" s="4" t="s">
        <v>28</v>
      </c>
      <c r="B29" s="5">
        <v>6</v>
      </c>
      <c r="C29" s="5">
        <v>9</v>
      </c>
      <c r="D29" s="5">
        <v>6</v>
      </c>
      <c r="E29" s="5">
        <v>9</v>
      </c>
      <c r="F29" s="6">
        <v>13</v>
      </c>
    </row>
    <row r="30" spans="1:12" ht="15.75" thickBot="1" x14ac:dyDescent="0.3">
      <c r="A30" s="5" t="s">
        <v>323</v>
      </c>
      <c r="B30" s="5">
        <v>4</v>
      </c>
      <c r="C30" s="5">
        <v>6</v>
      </c>
      <c r="D30" s="5">
        <v>4</v>
      </c>
      <c r="E30" s="5">
        <v>6</v>
      </c>
      <c r="F30" s="6">
        <v>9</v>
      </c>
    </row>
    <row r="31" spans="1:12" ht="15.75" thickBot="1" x14ac:dyDescent="0.3">
      <c r="A31" s="7" t="s">
        <v>324</v>
      </c>
      <c r="B31" s="8">
        <v>20</v>
      </c>
      <c r="C31" s="8">
        <v>23</v>
      </c>
      <c r="D31" s="8">
        <v>21</v>
      </c>
      <c r="E31" s="8">
        <v>31</v>
      </c>
      <c r="F31" s="9">
        <v>46</v>
      </c>
    </row>
    <row r="32" spans="1:12" ht="15.75" thickBot="1" x14ac:dyDescent="0.3">
      <c r="A32" s="4" t="s">
        <v>325</v>
      </c>
      <c r="B32" s="5">
        <v>3</v>
      </c>
      <c r="C32" s="5">
        <v>5</v>
      </c>
      <c r="D32" s="5">
        <v>3</v>
      </c>
      <c r="E32" s="5">
        <v>5</v>
      </c>
      <c r="F32" s="6">
        <v>7</v>
      </c>
    </row>
    <row r="33" spans="1:6" ht="15.75" thickBot="1" x14ac:dyDescent="0.3">
      <c r="A33" s="5" t="s">
        <v>326</v>
      </c>
      <c r="B33" s="5">
        <v>15</v>
      </c>
      <c r="C33" s="5">
        <v>18</v>
      </c>
      <c r="D33" s="5">
        <v>16</v>
      </c>
      <c r="E33" s="5">
        <v>23</v>
      </c>
      <c r="F33" s="6">
        <v>35</v>
      </c>
    </row>
    <row r="34" spans="1:6" ht="15.75" thickBot="1" x14ac:dyDescent="0.3">
      <c r="A34" s="7" t="s">
        <v>30</v>
      </c>
      <c r="B34" s="8">
        <v>0.23</v>
      </c>
      <c r="C34" s="8">
        <v>0.34</v>
      </c>
      <c r="D34" s="8">
        <v>0.24</v>
      </c>
      <c r="E34" s="8">
        <v>0.35</v>
      </c>
      <c r="F34" s="9">
        <v>0.54</v>
      </c>
    </row>
    <row r="35" spans="1:6" ht="15.75" thickBot="1" x14ac:dyDescent="0.3">
      <c r="A35" s="4" t="s">
        <v>31</v>
      </c>
      <c r="B35" s="5">
        <v>10</v>
      </c>
      <c r="C35" s="5">
        <v>15</v>
      </c>
      <c r="D35" s="5">
        <v>11</v>
      </c>
      <c r="E35" s="5">
        <v>15</v>
      </c>
      <c r="F35" s="6">
        <v>24</v>
      </c>
    </row>
    <row r="36" spans="1:6" ht="15.75" thickBot="1" x14ac:dyDescent="0.3">
      <c r="A36" s="7" t="s">
        <v>32</v>
      </c>
      <c r="B36" s="8">
        <v>0.15</v>
      </c>
      <c r="C36" s="8">
        <v>0.23</v>
      </c>
      <c r="D36" s="8">
        <v>0.16</v>
      </c>
      <c r="E36" s="8">
        <v>0.23</v>
      </c>
      <c r="F36" s="9">
        <v>0.33</v>
      </c>
    </row>
    <row r="37" spans="1:6" ht="15.75" thickBot="1" x14ac:dyDescent="0.3">
      <c r="A37" s="4" t="s">
        <v>33</v>
      </c>
      <c r="B37" s="5">
        <v>24</v>
      </c>
      <c r="C37" s="5">
        <v>37</v>
      </c>
      <c r="D37" s="5">
        <v>25</v>
      </c>
      <c r="E37" s="5">
        <v>37</v>
      </c>
      <c r="F37" s="6">
        <v>53</v>
      </c>
    </row>
    <row r="38" spans="1:6" ht="15.75" thickBot="1" x14ac:dyDescent="0.3">
      <c r="A38" s="7" t="s">
        <v>34</v>
      </c>
      <c r="B38" s="8">
        <v>0.22</v>
      </c>
      <c r="C38" s="8">
        <v>0.34</v>
      </c>
      <c r="D38" s="8">
        <v>0.23</v>
      </c>
      <c r="E38" s="8">
        <v>0.34</v>
      </c>
      <c r="F38" s="9">
        <v>0.49</v>
      </c>
    </row>
    <row r="39" spans="1:6" ht="15.75" thickBot="1" x14ac:dyDescent="0.3">
      <c r="A39" s="4" t="s">
        <v>35</v>
      </c>
      <c r="B39" s="5">
        <v>35</v>
      </c>
      <c r="C39" s="5">
        <v>53</v>
      </c>
      <c r="D39" s="5">
        <v>37</v>
      </c>
      <c r="E39" s="5">
        <v>53</v>
      </c>
      <c r="F39" s="6">
        <v>78</v>
      </c>
    </row>
    <row r="40" spans="1:6" ht="15.75" thickBot="1" x14ac:dyDescent="0.3">
      <c r="A40" s="7" t="s">
        <v>36</v>
      </c>
      <c r="B40" s="8">
        <v>4</v>
      </c>
      <c r="C40" s="8">
        <v>6</v>
      </c>
      <c r="D40" s="8">
        <v>4</v>
      </c>
      <c r="E40" s="8">
        <v>6</v>
      </c>
      <c r="F40" s="9">
        <v>9</v>
      </c>
    </row>
    <row r="41" spans="1:6" ht="15.75" thickBot="1" x14ac:dyDescent="0.3">
      <c r="A41" s="4" t="s">
        <v>37</v>
      </c>
      <c r="B41" s="5">
        <v>7</v>
      </c>
      <c r="C41" s="5">
        <v>7</v>
      </c>
      <c r="D41" s="5">
        <v>7</v>
      </c>
      <c r="E41" s="5">
        <v>7</v>
      </c>
      <c r="F41" s="6">
        <v>7</v>
      </c>
    </row>
    <row r="42" spans="1:6" ht="45" x14ac:dyDescent="0.25">
      <c r="A42" s="39" t="s">
        <v>343</v>
      </c>
    </row>
  </sheetData>
  <sheetProtection algorithmName="SHA-512" hashValue="kkKIWPLpUsMVb+k9nRTUHj6K88IwzUYpVJit0GESVkrfQMCw4rnbWFUoa1EhyQWjkIyY9+W0gHvEuZG0ZiWSQg==" saltValue="VeU4i96CH0jPdLFYHFd5BQ==" spinCount="100000" sheet="1" objects="1" scenarios="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4:F35"/>
  <sheetViews>
    <sheetView workbookViewId="0">
      <selection activeCell="C10" sqref="C10"/>
    </sheetView>
  </sheetViews>
  <sheetFormatPr defaultRowHeight="15" x14ac:dyDescent="0.25"/>
  <cols>
    <col min="1" max="1" width="72.140625" customWidth="1"/>
  </cols>
  <sheetData>
    <row r="4" spans="1:6" ht="15.75" x14ac:dyDescent="0.25">
      <c r="A4" s="23" t="s">
        <v>113</v>
      </c>
    </row>
    <row r="5" spans="1:6" ht="15.75" thickBot="1" x14ac:dyDescent="0.3"/>
    <row r="6" spans="1:6" ht="19.5" thickBot="1" x14ac:dyDescent="0.3">
      <c r="A6" s="1" t="s">
        <v>0</v>
      </c>
      <c r="B6" s="2" t="s">
        <v>1</v>
      </c>
      <c r="C6" s="2" t="s">
        <v>2</v>
      </c>
      <c r="D6" s="2" t="s">
        <v>3</v>
      </c>
      <c r="E6" s="2" t="s">
        <v>4</v>
      </c>
      <c r="F6" s="3" t="s">
        <v>5</v>
      </c>
    </row>
    <row r="7" spans="1:6" ht="15.75" thickBot="1" x14ac:dyDescent="0.3">
      <c r="A7" s="4" t="s">
        <v>38</v>
      </c>
      <c r="B7" s="5">
        <v>31</v>
      </c>
      <c r="C7" s="5">
        <v>31</v>
      </c>
      <c r="D7" s="5">
        <v>31</v>
      </c>
      <c r="E7" s="5">
        <v>31</v>
      </c>
      <c r="F7" s="6">
        <v>31</v>
      </c>
    </row>
    <row r="8" spans="1:6" ht="15.75" thickBot="1" x14ac:dyDescent="0.3">
      <c r="A8" s="7" t="s">
        <v>39</v>
      </c>
      <c r="B8" s="8">
        <v>1.6</v>
      </c>
      <c r="C8" s="8">
        <v>1.6</v>
      </c>
      <c r="D8" s="8">
        <v>1.6</v>
      </c>
      <c r="E8" s="8">
        <v>1.6</v>
      </c>
      <c r="F8" s="9">
        <v>1.6</v>
      </c>
    </row>
    <row r="9" spans="1:6" ht="15.75" thickBot="1" x14ac:dyDescent="0.3">
      <c r="A9" s="13" t="s">
        <v>40</v>
      </c>
      <c r="B9" s="14">
        <v>1.2</v>
      </c>
      <c r="C9" s="14">
        <v>1.2</v>
      </c>
      <c r="D9" s="14">
        <v>1.2</v>
      </c>
      <c r="E9" s="14">
        <v>1.2</v>
      </c>
      <c r="F9" s="15">
        <v>1.2</v>
      </c>
    </row>
    <row r="10" spans="1:6" ht="15.75" thickBot="1" x14ac:dyDescent="0.3">
      <c r="A10" s="10" t="s">
        <v>41</v>
      </c>
      <c r="B10" s="11">
        <v>1.9</v>
      </c>
      <c r="C10" s="11">
        <v>1.9</v>
      </c>
      <c r="D10" s="11">
        <v>1.9</v>
      </c>
      <c r="E10" s="11">
        <v>1.9</v>
      </c>
      <c r="F10" s="12">
        <v>1.9</v>
      </c>
    </row>
    <row r="11" spans="1:6" ht="15.75" thickBot="1" x14ac:dyDescent="0.3">
      <c r="A11" s="13" t="s">
        <v>42</v>
      </c>
      <c r="B11" s="14">
        <v>2.6</v>
      </c>
      <c r="C11" s="14">
        <v>2.6</v>
      </c>
      <c r="D11" s="14">
        <v>2.6</v>
      </c>
      <c r="E11" s="14">
        <v>2.6</v>
      </c>
      <c r="F11" s="15">
        <v>2.6</v>
      </c>
    </row>
    <row r="12" spans="1:6" ht="15.75" thickBot="1" x14ac:dyDescent="0.3">
      <c r="A12" s="10" t="s">
        <v>43</v>
      </c>
      <c r="B12" s="11">
        <v>3.3</v>
      </c>
      <c r="C12" s="11">
        <v>3.3</v>
      </c>
      <c r="D12" s="11">
        <v>3.3</v>
      </c>
      <c r="E12" s="11">
        <v>3.3</v>
      </c>
      <c r="F12" s="12">
        <v>3.3</v>
      </c>
    </row>
    <row r="13" spans="1:6" ht="15.75" thickBot="1" x14ac:dyDescent="0.3">
      <c r="A13" s="4" t="s">
        <v>44</v>
      </c>
      <c r="B13" s="5">
        <v>2.1</v>
      </c>
      <c r="C13" s="5">
        <v>2.1</v>
      </c>
      <c r="D13" s="5">
        <v>2.1</v>
      </c>
      <c r="E13" s="5">
        <v>2.1</v>
      </c>
      <c r="F13" s="6">
        <v>2.1</v>
      </c>
    </row>
    <row r="14" spans="1:6" ht="15.75" thickBot="1" x14ac:dyDescent="0.3">
      <c r="A14" s="10" t="s">
        <v>45</v>
      </c>
      <c r="B14" s="11">
        <v>1.7</v>
      </c>
      <c r="C14" s="11">
        <v>1.7</v>
      </c>
      <c r="D14" s="11">
        <v>1.7</v>
      </c>
      <c r="E14" s="11">
        <v>1.7</v>
      </c>
      <c r="F14" s="12">
        <v>1.7</v>
      </c>
    </row>
    <row r="15" spans="1:6" ht="15.75" thickBot="1" x14ac:dyDescent="0.3">
      <c r="A15" s="13" t="s">
        <v>46</v>
      </c>
      <c r="B15" s="14">
        <v>2.4</v>
      </c>
      <c r="C15" s="14">
        <v>2.4</v>
      </c>
      <c r="D15" s="14">
        <v>2.4</v>
      </c>
      <c r="E15" s="14">
        <v>2.4</v>
      </c>
      <c r="F15" s="15">
        <v>2.4</v>
      </c>
    </row>
    <row r="16" spans="1:6" ht="15.75" thickBot="1" x14ac:dyDescent="0.3">
      <c r="A16" s="10" t="s">
        <v>47</v>
      </c>
      <c r="B16" s="11">
        <v>3.1</v>
      </c>
      <c r="C16" s="11">
        <v>3.1</v>
      </c>
      <c r="D16" s="11">
        <v>3.1</v>
      </c>
      <c r="E16" s="11">
        <v>3.1</v>
      </c>
      <c r="F16" s="12">
        <v>3.1</v>
      </c>
    </row>
    <row r="17" spans="1:6" ht="15.75" thickBot="1" x14ac:dyDescent="0.3">
      <c r="A17" s="13" t="s">
        <v>48</v>
      </c>
      <c r="B17" s="14">
        <v>3.8</v>
      </c>
      <c r="C17" s="14">
        <v>3.8</v>
      </c>
      <c r="D17" s="14">
        <v>3.8</v>
      </c>
      <c r="E17" s="14">
        <v>3.8</v>
      </c>
      <c r="F17" s="15">
        <v>3.8</v>
      </c>
    </row>
    <row r="18" spans="1:6" ht="15.75" thickBot="1" x14ac:dyDescent="0.3">
      <c r="A18" s="7" t="s">
        <v>49</v>
      </c>
      <c r="B18" s="8">
        <v>60</v>
      </c>
      <c r="C18" s="8">
        <v>60</v>
      </c>
      <c r="D18" s="8">
        <v>60</v>
      </c>
      <c r="E18" s="8">
        <v>60</v>
      </c>
      <c r="F18" s="9">
        <v>60</v>
      </c>
    </row>
    <row r="19" spans="1:6" ht="15.75" thickBot="1" x14ac:dyDescent="0.3">
      <c r="A19" s="4" t="s">
        <v>50</v>
      </c>
      <c r="B19" s="5">
        <v>14</v>
      </c>
      <c r="C19" s="5">
        <v>14</v>
      </c>
      <c r="D19" s="5">
        <v>14</v>
      </c>
      <c r="E19" s="5">
        <v>11</v>
      </c>
      <c r="F19" s="6">
        <v>5</v>
      </c>
    </row>
    <row r="20" spans="1:6" ht="15.75" thickBot="1" x14ac:dyDescent="0.3">
      <c r="A20" s="7" t="s">
        <v>51</v>
      </c>
      <c r="B20" s="8">
        <v>15</v>
      </c>
      <c r="C20" s="8">
        <v>15</v>
      </c>
      <c r="D20" s="8">
        <v>15</v>
      </c>
      <c r="E20" s="8">
        <v>12</v>
      </c>
      <c r="F20" s="9">
        <v>6</v>
      </c>
    </row>
    <row r="21" spans="1:6" ht="15.75" thickBot="1" x14ac:dyDescent="0.3">
      <c r="A21" s="4" t="s">
        <v>52</v>
      </c>
      <c r="B21" s="5">
        <v>12</v>
      </c>
      <c r="C21" s="5">
        <v>12</v>
      </c>
      <c r="D21" s="5">
        <v>12</v>
      </c>
      <c r="E21" s="5">
        <v>9</v>
      </c>
      <c r="F21" s="6">
        <v>5</v>
      </c>
    </row>
    <row r="22" spans="1:6" ht="15.75" thickBot="1" x14ac:dyDescent="0.3">
      <c r="A22" s="7" t="s">
        <v>53</v>
      </c>
      <c r="B22" s="8">
        <v>13</v>
      </c>
      <c r="C22" s="8">
        <v>13</v>
      </c>
      <c r="D22" s="8">
        <v>13</v>
      </c>
      <c r="E22" s="8">
        <v>10</v>
      </c>
      <c r="F22" s="9">
        <v>6</v>
      </c>
    </row>
    <row r="23" spans="1:6" ht="15.75" thickBot="1" x14ac:dyDescent="0.3">
      <c r="A23" s="4" t="s">
        <v>327</v>
      </c>
      <c r="B23" s="5">
        <v>4</v>
      </c>
      <c r="C23" s="5">
        <v>4</v>
      </c>
      <c r="D23" s="5">
        <v>4</v>
      </c>
      <c r="E23" s="5">
        <v>3</v>
      </c>
      <c r="F23" s="6">
        <v>2</v>
      </c>
    </row>
    <row r="24" spans="1:6" ht="15.75" thickBot="1" x14ac:dyDescent="0.3">
      <c r="A24" s="4" t="s">
        <v>328</v>
      </c>
      <c r="B24" s="5">
        <v>38</v>
      </c>
      <c r="C24" s="5">
        <v>38</v>
      </c>
      <c r="D24" s="5">
        <v>38</v>
      </c>
      <c r="E24" s="5">
        <v>38</v>
      </c>
      <c r="F24" s="6">
        <v>38</v>
      </c>
    </row>
    <row r="25" spans="1:6" ht="15.75" thickBot="1" x14ac:dyDescent="0.3">
      <c r="A25" s="4" t="s">
        <v>329</v>
      </c>
      <c r="B25" s="5">
        <v>4</v>
      </c>
      <c r="C25" s="5">
        <v>4</v>
      </c>
      <c r="D25" s="5">
        <v>4</v>
      </c>
      <c r="E25" s="5">
        <v>3</v>
      </c>
      <c r="F25" s="6">
        <v>2</v>
      </c>
    </row>
    <row r="26" spans="1:6" ht="15.75" thickBot="1" x14ac:dyDescent="0.3">
      <c r="A26" s="7" t="s">
        <v>330</v>
      </c>
      <c r="B26" s="8">
        <v>36</v>
      </c>
      <c r="C26" s="8">
        <v>36</v>
      </c>
      <c r="D26" s="8">
        <v>36</v>
      </c>
      <c r="E26" s="8">
        <v>36</v>
      </c>
      <c r="F26" s="9">
        <v>36</v>
      </c>
    </row>
    <row r="27" spans="1:6" ht="15.75" thickBot="1" x14ac:dyDescent="0.3">
      <c r="A27" s="4" t="s">
        <v>331</v>
      </c>
      <c r="B27" s="5">
        <v>7</v>
      </c>
      <c r="C27" s="5">
        <v>7</v>
      </c>
      <c r="D27" s="5">
        <v>7</v>
      </c>
      <c r="E27" s="5">
        <v>6</v>
      </c>
      <c r="F27" s="6">
        <v>3</v>
      </c>
    </row>
    <row r="28" spans="1:6" ht="15.75" thickBot="1" x14ac:dyDescent="0.3">
      <c r="A28" s="4" t="s">
        <v>332</v>
      </c>
      <c r="B28" s="5">
        <v>17</v>
      </c>
      <c r="C28" s="5">
        <v>17</v>
      </c>
      <c r="D28" s="5">
        <v>17</v>
      </c>
      <c r="E28" s="5">
        <v>17</v>
      </c>
      <c r="F28" s="6">
        <v>17</v>
      </c>
    </row>
    <row r="29" spans="1:6" ht="15.75" thickBot="1" x14ac:dyDescent="0.3">
      <c r="A29" s="7" t="s">
        <v>29</v>
      </c>
      <c r="B29" s="8">
        <v>16</v>
      </c>
      <c r="C29" s="8">
        <v>21</v>
      </c>
      <c r="D29" s="8">
        <v>24</v>
      </c>
      <c r="E29" s="8">
        <v>12</v>
      </c>
      <c r="F29" s="9">
        <v>6</v>
      </c>
    </row>
    <row r="30" spans="1:6" ht="15.75" thickBot="1" x14ac:dyDescent="0.3">
      <c r="A30" s="4" t="s">
        <v>54</v>
      </c>
      <c r="B30" s="5">
        <v>13</v>
      </c>
      <c r="C30" s="5">
        <v>17</v>
      </c>
      <c r="D30" s="5">
        <v>20</v>
      </c>
      <c r="E30" s="5">
        <v>9</v>
      </c>
      <c r="F30" s="6">
        <v>5</v>
      </c>
    </row>
    <row r="31" spans="1:6" ht="15.75" thickBot="1" x14ac:dyDescent="0.3">
      <c r="A31" s="7" t="s">
        <v>55</v>
      </c>
      <c r="B31" s="8">
        <v>4</v>
      </c>
      <c r="C31" s="8">
        <v>4</v>
      </c>
      <c r="D31" s="8">
        <v>4</v>
      </c>
      <c r="E31" s="8">
        <v>3</v>
      </c>
      <c r="F31" s="9">
        <v>2</v>
      </c>
    </row>
    <row r="32" spans="1:6" ht="15.75" thickBot="1" x14ac:dyDescent="0.3">
      <c r="A32" s="4" t="s">
        <v>56</v>
      </c>
      <c r="B32" s="5">
        <v>22</v>
      </c>
      <c r="C32" s="5">
        <v>17</v>
      </c>
      <c r="D32" s="5">
        <v>17</v>
      </c>
      <c r="E32" s="5">
        <v>12</v>
      </c>
      <c r="F32" s="6">
        <v>5</v>
      </c>
    </row>
    <row r="33" spans="1:6" ht="15.75" thickBot="1" x14ac:dyDescent="0.3">
      <c r="A33" s="7" t="s">
        <v>57</v>
      </c>
      <c r="B33" s="8">
        <v>0.24</v>
      </c>
      <c r="C33" s="8">
        <v>0.19</v>
      </c>
      <c r="D33" s="8">
        <v>0.19</v>
      </c>
      <c r="E33" s="8">
        <v>0.13</v>
      </c>
      <c r="F33" s="9">
        <v>0.05</v>
      </c>
    </row>
    <row r="34" spans="1:6" ht="15.75" thickBot="1" x14ac:dyDescent="0.3">
      <c r="A34" s="4" t="s">
        <v>58</v>
      </c>
      <c r="B34" s="5">
        <v>4</v>
      </c>
      <c r="C34" s="5">
        <v>3</v>
      </c>
      <c r="D34" s="5">
        <v>3</v>
      </c>
      <c r="E34" s="5">
        <v>2</v>
      </c>
      <c r="F34" s="6">
        <v>1</v>
      </c>
    </row>
    <row r="35" spans="1:6" ht="45" x14ac:dyDescent="0.25">
      <c r="A35" s="39" t="s">
        <v>344</v>
      </c>
    </row>
  </sheetData>
  <sheetProtection password="95C7"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81"/>
  <sheetViews>
    <sheetView workbookViewId="0">
      <selection activeCell="A4" sqref="A4"/>
    </sheetView>
  </sheetViews>
  <sheetFormatPr defaultRowHeight="15" x14ac:dyDescent="0.25"/>
  <cols>
    <col min="1" max="1" width="119.85546875" customWidth="1"/>
  </cols>
  <sheetData>
    <row r="4" spans="1:1" ht="22.5" x14ac:dyDescent="0.3">
      <c r="A4" s="53" t="s">
        <v>277</v>
      </c>
    </row>
    <row r="5" spans="1:1" ht="18" x14ac:dyDescent="0.25">
      <c r="A5" s="54" t="s">
        <v>341</v>
      </c>
    </row>
    <row r="6" spans="1:1" x14ac:dyDescent="0.25">
      <c r="A6" s="21"/>
    </row>
    <row r="7" spans="1:1" ht="18" x14ac:dyDescent="0.25">
      <c r="A7" s="55" t="s">
        <v>278</v>
      </c>
    </row>
    <row r="8" spans="1:1" x14ac:dyDescent="0.25">
      <c r="A8" s="57" t="s">
        <v>321</v>
      </c>
    </row>
    <row r="9" spans="1:1" x14ac:dyDescent="0.25">
      <c r="A9" s="21" t="s">
        <v>352</v>
      </c>
    </row>
    <row r="10" spans="1:1" x14ac:dyDescent="0.25">
      <c r="A10" s="21" t="s">
        <v>350</v>
      </c>
    </row>
    <row r="11" spans="1:1" x14ac:dyDescent="0.25">
      <c r="A11" s="21" t="s">
        <v>351</v>
      </c>
    </row>
    <row r="12" spans="1:1" x14ac:dyDescent="0.25">
      <c r="A12" s="21"/>
    </row>
    <row r="13" spans="1:1" ht="18" x14ac:dyDescent="0.25">
      <c r="A13" s="55" t="s">
        <v>320</v>
      </c>
    </row>
    <row r="14" spans="1:1" x14ac:dyDescent="0.25">
      <c r="A14" s="21" t="s">
        <v>414</v>
      </c>
    </row>
    <row r="15" spans="1:1" x14ac:dyDescent="0.25">
      <c r="A15" s="21" t="s">
        <v>345</v>
      </c>
    </row>
    <row r="16" spans="1:1" x14ac:dyDescent="0.25">
      <c r="A16" s="21" t="s">
        <v>346</v>
      </c>
    </row>
    <row r="17" spans="1:1" x14ac:dyDescent="0.25">
      <c r="A17" s="21" t="s">
        <v>347</v>
      </c>
    </row>
    <row r="18" spans="1:1" x14ac:dyDescent="0.25">
      <c r="A18" s="21" t="s">
        <v>348</v>
      </c>
    </row>
    <row r="19" spans="1:1" x14ac:dyDescent="0.25">
      <c r="A19" s="21" t="s">
        <v>349</v>
      </c>
    </row>
    <row r="20" spans="1:1" x14ac:dyDescent="0.25">
      <c r="A20" s="21"/>
    </row>
    <row r="21" spans="1:1" ht="18" x14ac:dyDescent="0.25">
      <c r="A21" s="55" t="s">
        <v>279</v>
      </c>
    </row>
    <row r="22" spans="1:1" x14ac:dyDescent="0.25">
      <c r="A22" s="21" t="s">
        <v>415</v>
      </c>
    </row>
    <row r="23" spans="1:1" ht="30" x14ac:dyDescent="0.25">
      <c r="A23" s="21" t="s">
        <v>353</v>
      </c>
    </row>
    <row r="24" spans="1:1" x14ac:dyDescent="0.25">
      <c r="A24" s="21" t="s">
        <v>354</v>
      </c>
    </row>
    <row r="25" spans="1:1" x14ac:dyDescent="0.25">
      <c r="A25" s="21" t="s">
        <v>356</v>
      </c>
    </row>
    <row r="26" spans="1:1" ht="30" x14ac:dyDescent="0.25">
      <c r="A26" s="21" t="s">
        <v>355</v>
      </c>
    </row>
    <row r="27" spans="1:1" x14ac:dyDescent="0.25">
      <c r="A27" s="21" t="s">
        <v>357</v>
      </c>
    </row>
    <row r="28" spans="1:1" x14ac:dyDescent="0.25">
      <c r="A28" s="21" t="s">
        <v>358</v>
      </c>
    </row>
    <row r="29" spans="1:1" ht="30" x14ac:dyDescent="0.25">
      <c r="A29" s="21" t="s">
        <v>359</v>
      </c>
    </row>
    <row r="30" spans="1:1" x14ac:dyDescent="0.25">
      <c r="A30" s="56" t="s">
        <v>360</v>
      </c>
    </row>
    <row r="31" spans="1:1" ht="45" x14ac:dyDescent="0.25">
      <c r="A31" s="21" t="s">
        <v>416</v>
      </c>
    </row>
    <row r="32" spans="1:1" ht="30" customHeight="1" x14ac:dyDescent="0.25">
      <c r="A32" s="21" t="s">
        <v>417</v>
      </c>
    </row>
    <row r="33" spans="1:1" x14ac:dyDescent="0.25">
      <c r="A33" s="57"/>
    </row>
    <row r="34" spans="1:1" ht="18" x14ac:dyDescent="0.25">
      <c r="A34" s="55" t="s">
        <v>280</v>
      </c>
    </row>
    <row r="35" spans="1:1" x14ac:dyDescent="0.25">
      <c r="A35" s="21" t="s">
        <v>361</v>
      </c>
    </row>
    <row r="36" spans="1:1" ht="30.75" customHeight="1" x14ac:dyDescent="0.25">
      <c r="A36" s="21" t="s">
        <v>418</v>
      </c>
    </row>
    <row r="37" spans="1:1" ht="30" x14ac:dyDescent="0.25">
      <c r="A37" s="21" t="s">
        <v>362</v>
      </c>
    </row>
    <row r="38" spans="1:1" ht="46.5" customHeight="1" x14ac:dyDescent="0.25">
      <c r="A38" s="21" t="s">
        <v>405</v>
      </c>
    </row>
    <row r="39" spans="1:1" x14ac:dyDescent="0.25">
      <c r="A39" s="21" t="s">
        <v>363</v>
      </c>
    </row>
    <row r="40" spans="1:1" ht="30" x14ac:dyDescent="0.25">
      <c r="A40" s="21" t="s">
        <v>364</v>
      </c>
    </row>
    <row r="41" spans="1:1" ht="30" x14ac:dyDescent="0.25">
      <c r="A41" s="21" t="s">
        <v>365</v>
      </c>
    </row>
    <row r="42" spans="1:1" x14ac:dyDescent="0.25">
      <c r="A42" s="21"/>
    </row>
    <row r="43" spans="1:1" ht="18" x14ac:dyDescent="0.25">
      <c r="A43" s="55" t="s">
        <v>281</v>
      </c>
    </row>
    <row r="44" spans="1:1" x14ac:dyDescent="0.25">
      <c r="A44" s="57" t="s">
        <v>321</v>
      </c>
    </row>
    <row r="45" spans="1:1" ht="30" x14ac:dyDescent="0.25">
      <c r="A45" s="58" t="s">
        <v>366</v>
      </c>
    </row>
    <row r="46" spans="1:1" ht="30" x14ac:dyDescent="0.25">
      <c r="A46" s="21" t="s">
        <v>368</v>
      </c>
    </row>
    <row r="47" spans="1:1" ht="30" x14ac:dyDescent="0.25">
      <c r="A47" s="21" t="s">
        <v>367</v>
      </c>
    </row>
    <row r="48" spans="1:1" ht="30" x14ac:dyDescent="0.25">
      <c r="A48" s="21" t="s">
        <v>369</v>
      </c>
    </row>
    <row r="49" spans="1:1" x14ac:dyDescent="0.25">
      <c r="A49" s="21" t="s">
        <v>370</v>
      </c>
    </row>
    <row r="50" spans="1:1" x14ac:dyDescent="0.25">
      <c r="A50" s="21"/>
    </row>
    <row r="51" spans="1:1" ht="18" x14ac:dyDescent="0.25">
      <c r="A51" s="55" t="s">
        <v>159</v>
      </c>
    </row>
    <row r="52" spans="1:1" ht="30" x14ac:dyDescent="0.25">
      <c r="A52" s="21" t="s">
        <v>420</v>
      </c>
    </row>
    <row r="53" spans="1:1" ht="30" x14ac:dyDescent="0.25">
      <c r="A53" s="21" t="s">
        <v>419</v>
      </c>
    </row>
    <row r="54" spans="1:1" ht="30" x14ac:dyDescent="0.25">
      <c r="A54" s="21" t="s">
        <v>371</v>
      </c>
    </row>
    <row r="55" spans="1:1" x14ac:dyDescent="0.25">
      <c r="A55" s="21" t="s">
        <v>372</v>
      </c>
    </row>
    <row r="56" spans="1:1" x14ac:dyDescent="0.25">
      <c r="A56" s="21" t="s">
        <v>421</v>
      </c>
    </row>
    <row r="57" spans="1:1" x14ac:dyDescent="0.25">
      <c r="A57" s="21" t="s">
        <v>422</v>
      </c>
    </row>
    <row r="58" spans="1:1" x14ac:dyDescent="0.25">
      <c r="A58" s="21" t="s">
        <v>373</v>
      </c>
    </row>
    <row r="59" spans="1:1" x14ac:dyDescent="0.25">
      <c r="A59" s="21" t="s">
        <v>374</v>
      </c>
    </row>
    <row r="60" spans="1:1" x14ac:dyDescent="0.25">
      <c r="A60" s="57" t="s">
        <v>339</v>
      </c>
    </row>
    <row r="61" spans="1:1" x14ac:dyDescent="0.25">
      <c r="A61" s="21"/>
    </row>
    <row r="62" spans="1:1" ht="18" x14ac:dyDescent="0.25">
      <c r="A62" s="55" t="s">
        <v>282</v>
      </c>
    </row>
    <row r="63" spans="1:1" ht="30" x14ac:dyDescent="0.25">
      <c r="A63" s="21" t="s">
        <v>375</v>
      </c>
    </row>
    <row r="64" spans="1:1" ht="30" x14ac:dyDescent="0.25">
      <c r="A64" s="21" t="s">
        <v>376</v>
      </c>
    </row>
    <row r="65" spans="1:1" ht="30" x14ac:dyDescent="0.25">
      <c r="A65" s="21" t="s">
        <v>377</v>
      </c>
    </row>
    <row r="66" spans="1:1" x14ac:dyDescent="0.25">
      <c r="A66" s="21" t="s">
        <v>423</v>
      </c>
    </row>
    <row r="67" spans="1:1" ht="30" x14ac:dyDescent="0.25">
      <c r="A67" s="21" t="s">
        <v>392</v>
      </c>
    </row>
    <row r="68" spans="1:1" x14ac:dyDescent="0.25">
      <c r="A68" s="21" t="s">
        <v>378</v>
      </c>
    </row>
    <row r="69" spans="1:1" x14ac:dyDescent="0.25">
      <c r="A69" s="21" t="s">
        <v>379</v>
      </c>
    </row>
    <row r="70" spans="1:1" ht="30" x14ac:dyDescent="0.25">
      <c r="A70" s="21" t="s">
        <v>380</v>
      </c>
    </row>
    <row r="71" spans="1:1" ht="30" x14ac:dyDescent="0.25">
      <c r="A71" s="21" t="s">
        <v>381</v>
      </c>
    </row>
    <row r="72" spans="1:1" x14ac:dyDescent="0.25">
      <c r="A72" s="57" t="s">
        <v>340</v>
      </c>
    </row>
    <row r="73" spans="1:1" x14ac:dyDescent="0.25">
      <c r="A73" s="21"/>
    </row>
    <row r="74" spans="1:1" ht="18" x14ac:dyDescent="0.25">
      <c r="A74" s="55" t="s">
        <v>284</v>
      </c>
    </row>
    <row r="75" spans="1:1" x14ac:dyDescent="0.25">
      <c r="A75" s="21" t="s">
        <v>382</v>
      </c>
    </row>
    <row r="76" spans="1:1" ht="16.5" customHeight="1" x14ac:dyDescent="0.25">
      <c r="A76" s="21" t="s">
        <v>383</v>
      </c>
    </row>
    <row r="77" spans="1:1" x14ac:dyDescent="0.25">
      <c r="A77" s="21" t="s">
        <v>384</v>
      </c>
    </row>
    <row r="78" spans="1:1" ht="30" x14ac:dyDescent="0.25">
      <c r="A78" s="21" t="s">
        <v>385</v>
      </c>
    </row>
    <row r="79" spans="1:1" ht="30" x14ac:dyDescent="0.25">
      <c r="A79" s="21" t="s">
        <v>386</v>
      </c>
    </row>
    <row r="80" spans="1:1" x14ac:dyDescent="0.25">
      <c r="A80" s="21" t="s">
        <v>387</v>
      </c>
    </row>
    <row r="81" spans="1:1" x14ac:dyDescent="0.25">
      <c r="A81" s="57" t="s">
        <v>388</v>
      </c>
    </row>
  </sheetData>
  <sheetProtection password="95C7" sheet="1" objects="1" scenario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4:O44"/>
  <sheetViews>
    <sheetView workbookViewId="0">
      <selection activeCell="A12" sqref="A12"/>
    </sheetView>
  </sheetViews>
  <sheetFormatPr defaultRowHeight="15" x14ac:dyDescent="0.25"/>
  <cols>
    <col min="1" max="1" width="46.5703125" style="43" customWidth="1"/>
    <col min="3" max="5" width="8.85546875" style="43"/>
    <col min="6" max="6" width="12" style="43" customWidth="1"/>
    <col min="7" max="15" width="8.85546875" style="43"/>
  </cols>
  <sheetData>
    <row r="4" spans="1:3" ht="22.5" x14ac:dyDescent="0.3">
      <c r="A4" s="44" t="s">
        <v>333</v>
      </c>
    </row>
    <row r="5" spans="1:3" ht="22.5" x14ac:dyDescent="0.3">
      <c r="A5" s="44"/>
    </row>
    <row r="6" spans="1:3" x14ac:dyDescent="0.25">
      <c r="A6" s="45" t="s">
        <v>114</v>
      </c>
    </row>
    <row r="7" spans="1:3" x14ac:dyDescent="0.25">
      <c r="A7" s="46" t="s">
        <v>115</v>
      </c>
    </row>
    <row r="9" spans="1:3" ht="18" x14ac:dyDescent="0.25">
      <c r="A9" s="47" t="s">
        <v>156</v>
      </c>
    </row>
    <row r="11" spans="1:3" x14ac:dyDescent="0.25">
      <c r="A11" s="43" t="s">
        <v>62</v>
      </c>
      <c r="B11" s="40"/>
      <c r="C11" s="43" t="s">
        <v>60</v>
      </c>
    </row>
    <row r="12" spans="1:3" x14ac:dyDescent="0.25">
      <c r="A12" s="43" t="s">
        <v>313</v>
      </c>
      <c r="B12" s="41">
        <v>0.05</v>
      </c>
      <c r="C12" s="43" t="s">
        <v>406</v>
      </c>
    </row>
    <row r="13" spans="1:3" x14ac:dyDescent="0.25">
      <c r="B13" s="42"/>
      <c r="C13" s="43" t="s">
        <v>407</v>
      </c>
    </row>
    <row r="14" spans="1:3" ht="18" x14ac:dyDescent="0.25">
      <c r="A14" s="47" t="s">
        <v>177</v>
      </c>
      <c r="B14" s="42"/>
      <c r="C14" s="69"/>
    </row>
    <row r="15" spans="1:3" x14ac:dyDescent="0.25">
      <c r="A15" s="43" t="s">
        <v>61</v>
      </c>
      <c r="B15" s="40"/>
      <c r="C15" s="43" t="s">
        <v>63</v>
      </c>
    </row>
    <row r="16" spans="1:3" x14ac:dyDescent="0.25">
      <c r="A16" s="48" t="s">
        <v>64</v>
      </c>
      <c r="B16" s="42"/>
    </row>
    <row r="17" spans="1:5" x14ac:dyDescent="0.25">
      <c r="A17" s="43" t="s">
        <v>66</v>
      </c>
      <c r="B17" s="40"/>
      <c r="C17" s="43" t="s">
        <v>65</v>
      </c>
    </row>
    <row r="18" spans="1:5" x14ac:dyDescent="0.25">
      <c r="A18" s="48" t="s">
        <v>64</v>
      </c>
      <c r="B18" s="42"/>
    </row>
    <row r="19" spans="1:5" x14ac:dyDescent="0.25">
      <c r="A19" s="43" t="s">
        <v>68</v>
      </c>
      <c r="B19" s="40"/>
      <c r="C19" s="43" t="s">
        <v>65</v>
      </c>
    </row>
    <row r="20" spans="1:5" x14ac:dyDescent="0.25">
      <c r="A20" s="43" t="s">
        <v>69</v>
      </c>
      <c r="B20" s="40"/>
      <c r="C20" s="43" t="s">
        <v>65</v>
      </c>
    </row>
    <row r="21" spans="1:5" x14ac:dyDescent="0.25">
      <c r="A21" s="43" t="s">
        <v>70</v>
      </c>
      <c r="B21" s="40"/>
      <c r="C21" s="43" t="s">
        <v>65</v>
      </c>
    </row>
    <row r="22" spans="1:5" x14ac:dyDescent="0.25">
      <c r="A22" s="43" t="s">
        <v>271</v>
      </c>
      <c r="B22" s="40"/>
      <c r="C22" s="43" t="s">
        <v>65</v>
      </c>
    </row>
    <row r="23" spans="1:5" x14ac:dyDescent="0.25">
      <c r="B23" s="42"/>
    </row>
    <row r="24" spans="1:5" ht="18" x14ac:dyDescent="0.25">
      <c r="A24" s="47" t="s">
        <v>116</v>
      </c>
      <c r="B24" s="42"/>
    </row>
    <row r="25" spans="1:5" x14ac:dyDescent="0.25">
      <c r="A25" s="43" t="s">
        <v>294</v>
      </c>
      <c r="B25" s="40"/>
      <c r="C25" s="43" t="s">
        <v>63</v>
      </c>
      <c r="E25" s="49" t="s">
        <v>295</v>
      </c>
    </row>
    <row r="26" spans="1:5" x14ac:dyDescent="0.25">
      <c r="A26" s="43" t="s">
        <v>71</v>
      </c>
      <c r="B26" s="40"/>
      <c r="C26" s="43" t="s">
        <v>73</v>
      </c>
    </row>
    <row r="27" spans="1:5" x14ac:dyDescent="0.25">
      <c r="A27" s="43" t="s">
        <v>72</v>
      </c>
      <c r="B27" s="40"/>
      <c r="C27" s="43" t="s">
        <v>74</v>
      </c>
    </row>
    <row r="28" spans="1:5" x14ac:dyDescent="0.25">
      <c r="B28" s="42"/>
    </row>
    <row r="29" spans="1:5" ht="18" x14ac:dyDescent="0.25">
      <c r="A29" s="47" t="s">
        <v>117</v>
      </c>
      <c r="B29" s="42"/>
    </row>
    <row r="30" spans="1:5" x14ac:dyDescent="0.25">
      <c r="A30" s="43" t="s">
        <v>88</v>
      </c>
      <c r="B30" s="40"/>
      <c r="C30" s="43" t="s">
        <v>80</v>
      </c>
    </row>
    <row r="31" spans="1:5" x14ac:dyDescent="0.25">
      <c r="A31" s="43" t="s">
        <v>89</v>
      </c>
      <c r="B31" s="40"/>
      <c r="C31" s="43" t="s">
        <v>80</v>
      </c>
    </row>
    <row r="32" spans="1:5" x14ac:dyDescent="0.25">
      <c r="B32" s="42"/>
    </row>
    <row r="33" spans="1:5" ht="18" x14ac:dyDescent="0.25">
      <c r="A33" s="47" t="s">
        <v>67</v>
      </c>
      <c r="B33" s="42"/>
    </row>
    <row r="34" spans="1:5" x14ac:dyDescent="0.25">
      <c r="A34" s="43" t="s">
        <v>75</v>
      </c>
      <c r="B34" s="40"/>
      <c r="C34" s="43" t="s">
        <v>63</v>
      </c>
    </row>
    <row r="35" spans="1:5" x14ac:dyDescent="0.25">
      <c r="A35" s="43" t="s">
        <v>76</v>
      </c>
      <c r="B35" s="40"/>
      <c r="C35" s="43" t="s">
        <v>63</v>
      </c>
    </row>
    <row r="36" spans="1:5" x14ac:dyDescent="0.25">
      <c r="A36" s="43" t="s">
        <v>77</v>
      </c>
      <c r="B36" s="40"/>
      <c r="C36" s="43" t="s">
        <v>63</v>
      </c>
    </row>
    <row r="37" spans="1:5" x14ac:dyDescent="0.25">
      <c r="A37" s="43" t="s">
        <v>78</v>
      </c>
      <c r="B37" s="40"/>
      <c r="C37" s="43" t="s">
        <v>63</v>
      </c>
      <c r="E37" s="43" t="s">
        <v>296</v>
      </c>
    </row>
    <row r="38" spans="1:5" x14ac:dyDescent="0.25">
      <c r="A38" s="43" t="s">
        <v>95</v>
      </c>
      <c r="B38" s="40"/>
      <c r="C38" s="43" t="s">
        <v>63</v>
      </c>
    </row>
    <row r="39" spans="1:5" x14ac:dyDescent="0.25">
      <c r="A39" s="43" t="s">
        <v>96</v>
      </c>
      <c r="B39" s="40"/>
      <c r="C39" s="43" t="s">
        <v>63</v>
      </c>
    </row>
    <row r="40" spans="1:5" x14ac:dyDescent="0.25">
      <c r="A40" s="43" t="s">
        <v>79</v>
      </c>
      <c r="B40" s="40"/>
      <c r="C40" s="43" t="s">
        <v>63</v>
      </c>
    </row>
    <row r="41" spans="1:5" x14ac:dyDescent="0.25">
      <c r="A41" s="43" t="s">
        <v>221</v>
      </c>
      <c r="B41" s="40"/>
      <c r="C41" s="43" t="s">
        <v>63</v>
      </c>
    </row>
    <row r="42" spans="1:5" x14ac:dyDescent="0.25">
      <c r="A42" s="43" t="s">
        <v>222</v>
      </c>
      <c r="B42" s="40"/>
      <c r="C42" s="43" t="s">
        <v>63</v>
      </c>
      <c r="E42" s="49" t="s">
        <v>272</v>
      </c>
    </row>
    <row r="43" spans="1:5" x14ac:dyDescent="0.25">
      <c r="A43" s="43" t="s">
        <v>223</v>
      </c>
      <c r="B43" s="40"/>
      <c r="C43" s="43" t="s">
        <v>63</v>
      </c>
    </row>
    <row r="44" spans="1:5" x14ac:dyDescent="0.25">
      <c r="B44" s="42"/>
    </row>
  </sheetData>
  <sheetProtection password="95C7" sheet="1" objects="1" scenario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4:C44"/>
  <sheetViews>
    <sheetView workbookViewId="0">
      <selection activeCell="D15" sqref="D15"/>
    </sheetView>
  </sheetViews>
  <sheetFormatPr defaultRowHeight="15" x14ac:dyDescent="0.25"/>
  <cols>
    <col min="1" max="1" width="52.42578125" customWidth="1"/>
    <col min="2" max="2" width="8.5703125" customWidth="1"/>
  </cols>
  <sheetData>
    <row r="4" spans="1:3" ht="22.5" x14ac:dyDescent="0.3">
      <c r="A4" s="16" t="s">
        <v>287</v>
      </c>
    </row>
    <row r="5" spans="1:3" x14ac:dyDescent="0.25">
      <c r="A5" t="s">
        <v>393</v>
      </c>
    </row>
    <row r="6" spans="1:3" x14ac:dyDescent="0.25">
      <c r="A6" t="s">
        <v>394</v>
      </c>
    </row>
    <row r="7" spans="1:3" x14ac:dyDescent="0.25">
      <c r="A7" s="20" t="s">
        <v>409</v>
      </c>
    </row>
    <row r="9" spans="1:3" ht="18" x14ac:dyDescent="0.25">
      <c r="A9" s="17" t="s">
        <v>288</v>
      </c>
    </row>
    <row r="11" spans="1:3" x14ac:dyDescent="0.25">
      <c r="A11" t="s">
        <v>286</v>
      </c>
      <c r="B11" s="20">
        <f>Cykel!I6</f>
        <v>0</v>
      </c>
      <c r="C11" t="s">
        <v>395</v>
      </c>
    </row>
    <row r="13" spans="1:3" ht="18" x14ac:dyDescent="0.25">
      <c r="A13" s="17" t="s">
        <v>289</v>
      </c>
    </row>
    <row r="15" spans="1:3" x14ac:dyDescent="0.25">
      <c r="A15" t="s">
        <v>286</v>
      </c>
      <c r="B15" s="20">
        <f>'Bil grundtal'!E5</f>
        <v>0</v>
      </c>
      <c r="C15" t="s">
        <v>396</v>
      </c>
    </row>
    <row r="16" spans="1:3" x14ac:dyDescent="0.25">
      <c r="B16" s="20">
        <f>'Bil grundtal'!E6</f>
        <v>0</v>
      </c>
      <c r="C16" t="s">
        <v>397</v>
      </c>
    </row>
    <row r="17" spans="1:3" x14ac:dyDescent="0.25">
      <c r="B17" s="20">
        <f>SUM(B15:B16)</f>
        <v>0</v>
      </c>
      <c r="C17" s="26" t="s">
        <v>398</v>
      </c>
    </row>
    <row r="18" spans="1:3" x14ac:dyDescent="0.25">
      <c r="A18" t="s">
        <v>311</v>
      </c>
      <c r="B18" s="30">
        <f>IF(B17=0,0,(IF(B17&lt;11,1,(B17*Förutsättningar!B12))))</f>
        <v>0</v>
      </c>
      <c r="C18" t="s">
        <v>322</v>
      </c>
    </row>
    <row r="20" spans="1:3" ht="18" x14ac:dyDescent="0.25">
      <c r="A20" s="17" t="s">
        <v>290</v>
      </c>
    </row>
    <row r="22" spans="1:3" x14ac:dyDescent="0.25">
      <c r="A22" t="s">
        <v>286</v>
      </c>
      <c r="B22" s="20">
        <f>'Red bilpool'!I7+'Red bilpool'!J8+'Red bilpool'!I11+'Red bilpool'!I14+'Red bilpool'!I17</f>
        <v>0</v>
      </c>
      <c r="C22" t="s">
        <v>399</v>
      </c>
    </row>
    <row r="23" spans="1:3" x14ac:dyDescent="0.25">
      <c r="B23" s="20">
        <f>'Red bilpool'!I20+'Red bilpool'!J21</f>
        <v>0</v>
      </c>
      <c r="C23" t="s">
        <v>400</v>
      </c>
    </row>
    <row r="24" spans="1:3" x14ac:dyDescent="0.25">
      <c r="A24" t="s">
        <v>297</v>
      </c>
      <c r="B24" s="20">
        <f>'Red bilpool'!J25</f>
        <v>0</v>
      </c>
      <c r="C24" t="s">
        <v>307</v>
      </c>
    </row>
    <row r="25" spans="1:3" x14ac:dyDescent="0.25">
      <c r="A25" t="s">
        <v>311</v>
      </c>
      <c r="B25" s="30">
        <f>B18</f>
        <v>0</v>
      </c>
      <c r="C25" t="s">
        <v>322</v>
      </c>
    </row>
    <row r="26" spans="1:3" x14ac:dyDescent="0.25">
      <c r="A26" s="26" t="s">
        <v>404</v>
      </c>
      <c r="B26" s="20">
        <f>'Red bilpool'!M37-B24</f>
        <v>0</v>
      </c>
      <c r="C26" s="26" t="s">
        <v>401</v>
      </c>
    </row>
    <row r="28" spans="1:3" ht="18" x14ac:dyDescent="0.25">
      <c r="A28" s="17" t="s">
        <v>291</v>
      </c>
    </row>
    <row r="30" spans="1:3" x14ac:dyDescent="0.25">
      <c r="A30" t="s">
        <v>286</v>
      </c>
      <c r="B30" s="20">
        <f>'Red MM'!H7+'Red MM'!I8+'Red MM'!H11+'Red MM'!H14+'Red MM'!H17</f>
        <v>0</v>
      </c>
      <c r="C30" t="s">
        <v>402</v>
      </c>
    </row>
    <row r="31" spans="1:3" x14ac:dyDescent="0.25">
      <c r="B31" s="20">
        <f>'Red MM'!H20+'Red MM'!I21</f>
        <v>0</v>
      </c>
      <c r="C31" t="s">
        <v>403</v>
      </c>
    </row>
    <row r="32" spans="1:3" x14ac:dyDescent="0.25">
      <c r="A32" t="s">
        <v>297</v>
      </c>
      <c r="B32" s="30">
        <f>B24</f>
        <v>0</v>
      </c>
      <c r="C32" t="s">
        <v>312</v>
      </c>
    </row>
    <row r="33" spans="1:3" x14ac:dyDescent="0.25">
      <c r="A33" t="s">
        <v>311</v>
      </c>
      <c r="B33" s="30">
        <f>B18</f>
        <v>0</v>
      </c>
      <c r="C33" t="s">
        <v>322</v>
      </c>
    </row>
    <row r="34" spans="1:3" x14ac:dyDescent="0.25">
      <c r="A34" s="26" t="s">
        <v>404</v>
      </c>
      <c r="B34" s="30">
        <f>'Red MM'!I42-B32</f>
        <v>0</v>
      </c>
      <c r="C34" s="26" t="s">
        <v>401</v>
      </c>
    </row>
    <row r="36" spans="1:3" ht="18" x14ac:dyDescent="0.25">
      <c r="A36" s="17" t="s">
        <v>433</v>
      </c>
    </row>
    <row r="38" spans="1:3" x14ac:dyDescent="0.25">
      <c r="A38" t="s">
        <v>286</v>
      </c>
      <c r="B38" s="30">
        <f>'Red samnyttjande ALLA'!E35</f>
        <v>0</v>
      </c>
      <c r="C38" t="s">
        <v>292</v>
      </c>
    </row>
    <row r="39" spans="1:3" x14ac:dyDescent="0.25">
      <c r="A39" t="s">
        <v>297</v>
      </c>
      <c r="B39" s="30">
        <f>B32</f>
        <v>0</v>
      </c>
      <c r="C39" t="s">
        <v>307</v>
      </c>
    </row>
    <row r="40" spans="1:3" x14ac:dyDescent="0.25">
      <c r="A40" t="s">
        <v>311</v>
      </c>
      <c r="B40" s="30">
        <f>B18</f>
        <v>0</v>
      </c>
      <c r="C40" t="s">
        <v>322</v>
      </c>
    </row>
    <row r="41" spans="1:3" x14ac:dyDescent="0.25">
      <c r="A41" s="26" t="s">
        <v>404</v>
      </c>
      <c r="B41" s="30">
        <f>'Red samnyttjande ALLA'!B40+B34</f>
        <v>0</v>
      </c>
      <c r="C41" s="26" t="s">
        <v>401</v>
      </c>
    </row>
    <row r="42" spans="1:3" x14ac:dyDescent="0.25">
      <c r="A42" t="s">
        <v>432</v>
      </c>
    </row>
    <row r="44" spans="1:3" ht="18" x14ac:dyDescent="0.25">
      <c r="A44" s="17"/>
    </row>
  </sheetData>
  <sheetProtection password="95C7" sheet="1" objects="1" scenarios="1"/>
  <conditionalFormatting sqref="B11">
    <cfRule type="cellIs" dxfId="121" priority="57" operator="greaterThan">
      <formula>0</formula>
    </cfRule>
    <cfRule type="cellIs" dxfId="120" priority="58" operator="greaterThan">
      <formula>0</formula>
    </cfRule>
  </conditionalFormatting>
  <conditionalFormatting sqref="B15">
    <cfRule type="cellIs" dxfId="119" priority="55" operator="greaterThan">
      <formula>0</formula>
    </cfRule>
    <cfRule type="cellIs" dxfId="118" priority="56" operator="greaterThan">
      <formula>0</formula>
    </cfRule>
  </conditionalFormatting>
  <conditionalFormatting sqref="B16:B17">
    <cfRule type="cellIs" dxfId="117" priority="53" operator="greaterThan">
      <formula>0</formula>
    </cfRule>
    <cfRule type="cellIs" dxfId="116" priority="54" operator="greaterThan">
      <formula>0</formula>
    </cfRule>
  </conditionalFormatting>
  <conditionalFormatting sqref="B22">
    <cfRule type="cellIs" dxfId="115" priority="51" operator="greaterThan">
      <formula>0</formula>
    </cfRule>
    <cfRule type="cellIs" dxfId="114" priority="52" operator="greaterThan">
      <formula>0</formula>
    </cfRule>
  </conditionalFormatting>
  <conditionalFormatting sqref="B23:B24">
    <cfRule type="cellIs" dxfId="113" priority="49" operator="greaterThan">
      <formula>0</formula>
    </cfRule>
    <cfRule type="cellIs" dxfId="112" priority="50" operator="greaterThan">
      <formula>0</formula>
    </cfRule>
  </conditionalFormatting>
  <conditionalFormatting sqref="B30">
    <cfRule type="cellIs" dxfId="111" priority="47" operator="greaterThan">
      <formula>0</formula>
    </cfRule>
    <cfRule type="cellIs" dxfId="110" priority="48" operator="greaterThan">
      <formula>0</formula>
    </cfRule>
  </conditionalFormatting>
  <conditionalFormatting sqref="B31">
    <cfRule type="cellIs" dxfId="109" priority="45" operator="greaterThan">
      <formula>0</formula>
    </cfRule>
    <cfRule type="cellIs" dxfId="108" priority="46" operator="greaterThan">
      <formula>0</formula>
    </cfRule>
  </conditionalFormatting>
  <conditionalFormatting sqref="B34">
    <cfRule type="cellIs" dxfId="107" priority="43" operator="greaterThan">
      <formula>0</formula>
    </cfRule>
  </conditionalFormatting>
  <conditionalFormatting sqref="B38:B39">
    <cfRule type="cellIs" dxfId="106" priority="41" operator="greaterThan">
      <formula>0</formula>
    </cfRule>
    <cfRule type="cellIs" dxfId="105" priority="42" operator="greaterThan">
      <formula>0</formula>
    </cfRule>
  </conditionalFormatting>
  <conditionalFormatting sqref="B41">
    <cfRule type="cellIs" dxfId="104" priority="39" operator="greaterThan">
      <formula>0</formula>
    </cfRule>
    <cfRule type="cellIs" dxfId="103" priority="40" operator="greaterThan">
      <formula>0</formula>
    </cfRule>
  </conditionalFormatting>
  <conditionalFormatting sqref="B18">
    <cfRule type="cellIs" dxfId="102" priority="31" operator="greaterThan">
      <formula>0</formula>
    </cfRule>
    <cfRule type="cellIs" dxfId="101" priority="32" operator="greaterThan">
      <formula>0</formula>
    </cfRule>
  </conditionalFormatting>
  <conditionalFormatting sqref="B32">
    <cfRule type="cellIs" dxfId="100" priority="27" operator="greaterThan">
      <formula>0</formula>
    </cfRule>
  </conditionalFormatting>
  <conditionalFormatting sqref="B25">
    <cfRule type="cellIs" dxfId="99" priority="19" operator="greaterThan">
      <formula>0</formula>
    </cfRule>
    <cfRule type="cellIs" dxfId="98" priority="20" operator="greaterThan">
      <formula>0</formula>
    </cfRule>
  </conditionalFormatting>
  <conditionalFormatting sqref="B33">
    <cfRule type="cellIs" dxfId="97" priority="17" operator="greaterThan">
      <formula>0</formula>
    </cfRule>
    <cfRule type="cellIs" dxfId="96" priority="18" operator="greaterThan">
      <formula>0</formula>
    </cfRule>
  </conditionalFormatting>
  <conditionalFormatting sqref="B40">
    <cfRule type="cellIs" dxfId="95" priority="15" operator="greaterThan">
      <formula>0</formula>
    </cfRule>
    <cfRule type="cellIs" dxfId="94" priority="16" operator="greaterThan">
      <formula>0</formula>
    </cfRule>
  </conditionalFormatting>
  <conditionalFormatting sqref="B26">
    <cfRule type="cellIs" dxfId="93" priority="1" operator="greaterThan">
      <formula>0</formula>
    </cfRule>
    <cfRule type="cellIs" dxfId="92" priority="2" operator="greaterThan">
      <formula>0</formula>
    </cfRule>
  </conditionalFormatting>
  <conditionalFormatting sqref="A7">
    <cfRule type="cellIs" dxfId="91" priority="13" operator="greaterThan">
      <formula>0</formula>
    </cfRule>
    <cfRule type="cellIs" dxfId="90" priority="14" operator="greaterThan">
      <formula>0</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I52"/>
  <sheetViews>
    <sheetView workbookViewId="0">
      <selection activeCell="A4" sqref="A4"/>
    </sheetView>
  </sheetViews>
  <sheetFormatPr defaultRowHeight="15" x14ac:dyDescent="0.25"/>
  <cols>
    <col min="1" max="1" width="55.42578125" customWidth="1"/>
    <col min="2" max="2" width="11.42578125" bestFit="1" customWidth="1"/>
  </cols>
  <sheetData>
    <row r="4" spans="1:9" ht="18" x14ac:dyDescent="0.25">
      <c r="A4" s="17" t="s">
        <v>157</v>
      </c>
    </row>
    <row r="5" spans="1:9" x14ac:dyDescent="0.25">
      <c r="A5" s="18" t="s">
        <v>114</v>
      </c>
    </row>
    <row r="6" spans="1:9" x14ac:dyDescent="0.25">
      <c r="A6" s="20" t="s">
        <v>115</v>
      </c>
      <c r="E6" t="s">
        <v>269</v>
      </c>
      <c r="I6" s="20">
        <f>(IF(B29&gt;0,B29,IF(B12&gt;0,B12,IF(B16&gt;0,B16,0))))+B32+B38+B40+B42+B43+B44+B45+B46+B47+B48+B49+B50+B51+B52</f>
        <v>0</v>
      </c>
    </row>
    <row r="7" spans="1:9" x14ac:dyDescent="0.25">
      <c r="A7" s="20" t="s">
        <v>408</v>
      </c>
    </row>
    <row r="9" spans="1:9" x14ac:dyDescent="0.25">
      <c r="A9" t="s">
        <v>81</v>
      </c>
      <c r="B9" s="20">
        <f>Förutsättningar!B11</f>
        <v>0</v>
      </c>
    </row>
    <row r="11" spans="1:9" ht="18" x14ac:dyDescent="0.25">
      <c r="A11" s="17" t="s">
        <v>179</v>
      </c>
    </row>
    <row r="12" spans="1:9" ht="30" x14ac:dyDescent="0.25">
      <c r="A12" s="21" t="s">
        <v>178</v>
      </c>
      <c r="B12" s="20">
        <f>ROUNDUP(Förutsättningar!B15/1000*IF(B9=1,'Ptal cykel'!B7,(IF(B9=2,'Ptal cykel'!C7,(IF(B9=3,'Ptal cykel'!D7,(IF(B9=4,'Ptal cykel'!E7,(IF(B9=5,'Ptal cykel'!F7,0))))))))),0)</f>
        <v>0</v>
      </c>
      <c r="C12" t="s">
        <v>92</v>
      </c>
    </row>
    <row r="14" spans="1:9" x14ac:dyDescent="0.25">
      <c r="A14" s="19" t="s">
        <v>64</v>
      </c>
    </row>
    <row r="15" spans="1:9" ht="30" x14ac:dyDescent="0.25">
      <c r="A15" s="21" t="s">
        <v>130</v>
      </c>
      <c r="B15" s="20">
        <f>ROUNDUP(Förutsättningar!B17*IF(B9=1,'Ptal cykel'!B8,(IF(B9=2,'Ptal cykel'!C8,(IF(B9=3,'Ptal cykel'!D8,(IF(B9=4,'Ptal cykel'!E8,(IF(B9=5,'Ptal cykel'!F8,0))))))))),0)</f>
        <v>0</v>
      </c>
      <c r="C15" t="s">
        <v>93</v>
      </c>
    </row>
    <row r="16" spans="1:9" x14ac:dyDescent="0.25">
      <c r="A16" s="21"/>
      <c r="B16" s="20">
        <f>ROUNDUP(Förutsättningar!B17*IF(B9=1,'Ptal cykel'!B13,(IF(B9=2,'Ptal cykel'!C13,(IF(B9=3,'Ptal cykel'!D13,(IF(B9=4,'Ptal cykel'!E13,(IF(B9=5,'Ptal cykel'!F13,0))))))))),0)</f>
        <v>0</v>
      </c>
      <c r="C16" t="s">
        <v>92</v>
      </c>
    </row>
    <row r="17" spans="1:4" x14ac:dyDescent="0.25">
      <c r="A17" s="19" t="s">
        <v>64</v>
      </c>
    </row>
    <row r="18" spans="1:4" x14ac:dyDescent="0.25">
      <c r="A18" s="19" t="s">
        <v>191</v>
      </c>
      <c r="B18" s="22">
        <f>Förutsättningar!B19*IF(B$9=1,'Ptal cykel'!B9,(IF(B$9=2,'Ptal cykel'!C9,(IF(B$9=3,'Ptal cykel'!D9,(IF(B$9=4,'Ptal cykel'!E9,(IF(B$9=5,'Ptal cykel'!F9,0)))))))))</f>
        <v>0</v>
      </c>
      <c r="C18" t="s">
        <v>93</v>
      </c>
    </row>
    <row r="19" spans="1:4" x14ac:dyDescent="0.25">
      <c r="A19" s="19" t="s">
        <v>192</v>
      </c>
      <c r="B19" s="22">
        <f>Förutsättningar!B20*IF(B$9=1,'Ptal cykel'!B10,(IF(B$9=2,'Ptal cykel'!C10,(IF(B$9=3,'Ptal cykel'!D10,(IF(B$9=4,'Ptal cykel'!E10,(IF(B$9=5,'Ptal cykel'!F10,0)))))))))</f>
        <v>0</v>
      </c>
    </row>
    <row r="20" spans="1:4" x14ac:dyDescent="0.25">
      <c r="A20" s="19" t="s">
        <v>193</v>
      </c>
      <c r="B20" s="22">
        <f>Förutsättningar!B21*IF(B$9=1,'Ptal cykel'!B11,(IF(B$9=2,'Ptal cykel'!C11,(IF(B$9=3,'Ptal cykel'!D11,(IF(B$9=4,'Ptal cykel'!E11,(IF(B$9=5,'Ptal cykel'!F11,0)))))))))</f>
        <v>0</v>
      </c>
    </row>
    <row r="21" spans="1:4" x14ac:dyDescent="0.25">
      <c r="A21" s="19" t="s">
        <v>194</v>
      </c>
      <c r="B21" s="22">
        <f>Förutsättningar!B22*IF(B$9=1,'Ptal cykel'!B12,(IF(B$9=2,'Ptal cykel'!C12,(IF(B$9=3,'Ptal cykel'!D12,(IF(B$9=4,'Ptal cykel'!E12,(IF(B$9=5,'Ptal cykel'!F12,0)))))))))</f>
        <v>0</v>
      </c>
    </row>
    <row r="23" spans="1:4" x14ac:dyDescent="0.25">
      <c r="A23" s="19" t="s">
        <v>191</v>
      </c>
      <c r="B23" s="22">
        <f>Förutsättningar!B19*IF(B$9=1,'Ptal cykel'!B14,(IF(B$9=2,'Ptal cykel'!C14,(IF(B$9=3,'Ptal cykel'!D14,(IF(B$9=4,'Ptal cykel'!E14,(IF(B$9=5,'Ptal cykel'!F14,0)))))))))</f>
        <v>0</v>
      </c>
      <c r="C23" t="s">
        <v>92</v>
      </c>
    </row>
    <row r="24" spans="1:4" x14ac:dyDescent="0.25">
      <c r="A24" s="19" t="s">
        <v>192</v>
      </c>
      <c r="B24" s="22">
        <f>Förutsättningar!B20*IF(B$9=1,'Ptal cykel'!B15,(IF(B$9=2,'Ptal cykel'!C15,(IF(B$9=3,'Ptal cykel'!D15,(IF(B$9=4,'Ptal cykel'!E15,(IF(B$9=5,'Ptal cykel'!F15,0)))))))))</f>
        <v>0</v>
      </c>
      <c r="C24" s="19"/>
      <c r="D24" s="19"/>
    </row>
    <row r="25" spans="1:4" x14ac:dyDescent="0.25">
      <c r="A25" s="19" t="s">
        <v>193</v>
      </c>
      <c r="B25" s="22">
        <f>Förutsättningar!B21*IF(B$9=1,'Ptal cykel'!B16,(IF(B$9=2,'Ptal cykel'!C16,(IF(B$9=3,'Ptal cykel'!D16,(IF(B$9=4,'Ptal cykel'!E16,(IF(B$9=5,'Ptal cykel'!F16,0)))))))))</f>
        <v>0</v>
      </c>
      <c r="C25" s="19"/>
      <c r="D25" s="19"/>
    </row>
    <row r="26" spans="1:4" x14ac:dyDescent="0.25">
      <c r="A26" s="19" t="s">
        <v>194</v>
      </c>
      <c r="B26" s="22">
        <f>Förutsättningar!B22*IF(B$9=1,'Ptal cykel'!B17,(IF(B$9=2,'Ptal cykel'!C17,(IF(B$9=3,'Ptal cykel'!D17,(IF(B$9=4,'Ptal cykel'!E17,(IF(B$9=5,'Ptal cykel'!F17,0)))))))))</f>
        <v>0</v>
      </c>
      <c r="C26" s="19"/>
      <c r="D26" s="19"/>
    </row>
    <row r="27" spans="1:4" x14ac:dyDescent="0.25">
      <c r="C27" s="19"/>
      <c r="D27" s="19"/>
    </row>
    <row r="28" spans="1:4" ht="30" x14ac:dyDescent="0.25">
      <c r="A28" s="21" t="s">
        <v>86</v>
      </c>
      <c r="B28" s="20">
        <f>ROUNDUP(SUM(B18:B21),0)</f>
        <v>0</v>
      </c>
      <c r="C28" t="s">
        <v>93</v>
      </c>
      <c r="D28" s="19"/>
    </row>
    <row r="29" spans="1:4" x14ac:dyDescent="0.25">
      <c r="A29" s="21"/>
      <c r="B29" s="20">
        <f>ROUNDUP(SUM(B23:B26),0)</f>
        <v>0</v>
      </c>
      <c r="C29" t="s">
        <v>92</v>
      </c>
    </row>
    <row r="31" spans="1:4" ht="18" x14ac:dyDescent="0.25">
      <c r="A31" s="17" t="s">
        <v>180</v>
      </c>
    </row>
    <row r="32" spans="1:4" x14ac:dyDescent="0.25">
      <c r="A32" t="s">
        <v>90</v>
      </c>
      <c r="B32" s="20">
        <f>ROUNDUP(Förutsättningar!B25/1000*IF(B9=1,'Ptal cykel'!B18,(IF(B9=2,'Ptal cykel'!C18,(IF(B9=3,'Ptal cykel'!D18,(IF(B9=4,'Ptal cykel'!E18,(IF(B9=5,'Ptal cykel'!F18,0))))))))),0)</f>
        <v>0</v>
      </c>
      <c r="C32" t="s">
        <v>92</v>
      </c>
    </row>
    <row r="34" spans="1:3" ht="18" x14ac:dyDescent="0.25">
      <c r="A34" s="17" t="s">
        <v>181</v>
      </c>
    </row>
    <row r="35" spans="1:3" x14ac:dyDescent="0.25">
      <c r="A35" t="s">
        <v>91</v>
      </c>
      <c r="B35" t="s">
        <v>342</v>
      </c>
    </row>
    <row r="37" spans="1:3" ht="18" x14ac:dyDescent="0.25">
      <c r="A37" s="17" t="s">
        <v>87</v>
      </c>
    </row>
    <row r="38" spans="1:3" x14ac:dyDescent="0.25">
      <c r="A38" t="s">
        <v>97</v>
      </c>
      <c r="B38" s="20">
        <f>ROUNDUP(Förutsättningar!B34/1000*IF(B$9=1,'Ptal cykel'!B20,(IF(B$9=2,'Ptal cykel'!C20,(IF(B$9=3,'Ptal cykel'!D20,(IF(B$9=4,'Ptal cykel'!E20,(IF(B$9=5,'Ptal cykel'!F20,0))))))))),0)</f>
        <v>0</v>
      </c>
      <c r="C38" t="s">
        <v>92</v>
      </c>
    </row>
    <row r="39" spans="1:3" x14ac:dyDescent="0.25">
      <c r="A39" t="s">
        <v>98</v>
      </c>
      <c r="B39" s="20">
        <f>ROUNDUP(Förutsättningar!B34/1000*IF(B$9=1,'Ptal cykel'!B19,(IF(B$9=2,'Ptal cykel'!C19,(IF(B$9=3,'Ptal cykel'!D19,(IF(B$9=4,'Ptal cykel'!E19,(IF(B$9=5,'Ptal cykel'!F19,0))))))))),0)</f>
        <v>0</v>
      </c>
      <c r="C39" t="s">
        <v>93</v>
      </c>
    </row>
    <row r="40" spans="1:3" x14ac:dyDescent="0.25">
      <c r="A40" t="s">
        <v>99</v>
      </c>
      <c r="B40" s="20">
        <f>ROUNDUP(Förutsättningar!B35/1000*IF(B$9=1,'Ptal cykel'!B22,(IF(B$9=2,'Ptal cykel'!C22,(IF(B$9=3,'Ptal cykel'!D22,(IF(B$9=4,'Ptal cykel'!E22,(IF(B$9=5,'Ptal cykel'!F22,0))))))))),0)</f>
        <v>0</v>
      </c>
      <c r="C40" t="s">
        <v>92</v>
      </c>
    </row>
    <row r="41" spans="1:3" x14ac:dyDescent="0.25">
      <c r="A41" t="s">
        <v>100</v>
      </c>
      <c r="B41" s="20">
        <f>ROUNDUP(Förutsättningar!B35/1000*IF(B$9=1,'Ptal cykel'!B21,(IF(B$9=2,'Ptal cykel'!C21,(IF(B$9=3,'Ptal cykel'!D21,(IF(B$9=4,'Ptal cykel'!E21,(IF(B$9=5,'Ptal cykel'!F21,0))))))))),0)</f>
        <v>0</v>
      </c>
      <c r="C41" t="s">
        <v>93</v>
      </c>
    </row>
    <row r="42" spans="1:3" x14ac:dyDescent="0.25">
      <c r="A42" t="s">
        <v>101</v>
      </c>
      <c r="B42" s="20">
        <f>ROUNDUP(Förutsättningar!B36/1000*IF(B$9=1,'Ptal cykel'!B29,(IF(B$9=2,'Ptal cykel'!C29,(IF(B$9=3,'Ptal cykel'!D29,(IF(B$9=4,'Ptal cykel'!E29,(IF(B$9=5,'Ptal cykel'!F29,0))))))))),0)</f>
        <v>0</v>
      </c>
      <c r="C42" t="s">
        <v>94</v>
      </c>
    </row>
    <row r="43" spans="1:3" x14ac:dyDescent="0.25">
      <c r="A43" t="s">
        <v>102</v>
      </c>
      <c r="B43" s="20">
        <f>ROUNDUP(Förutsättningar!B37/1000*IF(B$9=1,'Ptal cykel'!B30,(IF(B$9=2,'Ptal cykel'!C30,(IF(B$9=3,'Ptal cykel'!D30,(IF(B$9=4,'Ptal cykel'!E30,(IF(B$9=5,'Ptal cykel'!F30,0))))))))),0)</f>
        <v>0</v>
      </c>
      <c r="C43" t="s">
        <v>94</v>
      </c>
    </row>
    <row r="44" spans="1:3" x14ac:dyDescent="0.25">
      <c r="A44" t="s">
        <v>105</v>
      </c>
      <c r="B44" s="20">
        <f>ROUNDUP(Förutsättningar!B38/1000*IF(B$9=1,'Ptal cykel'!B23,(IF(B$9=2,'Ptal cykel'!C23,(IF(B$9=3,'Ptal cykel'!D23,(IF(B$9=4,'Ptal cykel'!E23,(IF(B$9=5,'Ptal cykel'!F23,0))))))))),0)</f>
        <v>0</v>
      </c>
      <c r="C44" t="s">
        <v>109</v>
      </c>
    </row>
    <row r="45" spans="1:3" x14ac:dyDescent="0.25">
      <c r="A45" t="s">
        <v>106</v>
      </c>
      <c r="B45" s="20">
        <f>ROUNDUP(Förutsättningar!B38/1000*IF(B$9=1,'Ptal cykel'!B24,(IF(B$9=2,'Ptal cykel'!C24,(IF(B$9=3,'Ptal cykel'!D24,(IF(B$9=4,'Ptal cykel'!E24,(IF(B$9=5,'Ptal cykel'!F24,0))))))))),0)</f>
        <v>0</v>
      </c>
      <c r="C45" t="s">
        <v>110</v>
      </c>
    </row>
    <row r="46" spans="1:3" x14ac:dyDescent="0.25">
      <c r="A46" t="s">
        <v>103</v>
      </c>
      <c r="B46" s="20">
        <f>ROUNDUP(Förutsättningar!B39/1000*IF(B$9=1,'Ptal cykel'!B25,(IF(B$9=2,'Ptal cykel'!C25,(IF(B$9=3,'Ptal cykel'!D25,(IF(B$9=4,'Ptal cykel'!E25,(IF(B$9=5,'Ptal cykel'!F25,0))))))))),0)</f>
        <v>0</v>
      </c>
      <c r="C46" t="s">
        <v>109</v>
      </c>
    </row>
    <row r="47" spans="1:3" x14ac:dyDescent="0.25">
      <c r="A47" t="s">
        <v>104</v>
      </c>
      <c r="B47" s="20">
        <f>ROUNDUP(Förutsättningar!B39/1000*IF(B$9=1,'Ptal cykel'!B26,(IF(B$9=2,'Ptal cykel'!C26,(IF(B$9=3,'Ptal cykel'!D26,(IF(B$9=4,'Ptal cykel'!E26,(IF(B$9=5,'Ptal cykel'!F26,0))))))))),0)</f>
        <v>0</v>
      </c>
      <c r="C47" t="s">
        <v>110</v>
      </c>
    </row>
    <row r="48" spans="1:3" x14ac:dyDescent="0.25">
      <c r="A48" t="s">
        <v>107</v>
      </c>
      <c r="B48" s="20">
        <f>ROUNDUP(Förutsättningar!B40/1000*IF(B$9=1,'Ptal cykel'!B27,(IF(B$9=2,'Ptal cykel'!C27,(IF(B$9=3,'Ptal cykel'!D27,(IF(B$9=4,'Ptal cykel'!E27,(IF(B$9=5,'Ptal cykel'!F27,0))))))))),0)</f>
        <v>0</v>
      </c>
      <c r="C48" t="s">
        <v>109</v>
      </c>
    </row>
    <row r="49" spans="1:3" x14ac:dyDescent="0.25">
      <c r="A49" t="s">
        <v>108</v>
      </c>
      <c r="B49" s="20">
        <f>ROUNDUP(Förutsättningar!B40/1000*IF(B$9=1,'Ptal cykel'!B28,(IF(B$9=2,'Ptal cykel'!C28,(IF(B$9=3,'Ptal cykel'!D28,(IF(B$9=4,'Ptal cykel'!E28,(IF(B$9=5,'Ptal cykel'!F28,0))))))))),0)</f>
        <v>0</v>
      </c>
      <c r="C49" t="s">
        <v>111</v>
      </c>
    </row>
    <row r="50" spans="1:3" x14ac:dyDescent="0.25">
      <c r="A50" t="s">
        <v>224</v>
      </c>
      <c r="B50" s="20">
        <f>ROUNDUP(Förutsättningar!B41/1000*IF(B$9=1,'Ptal cykel'!B31,(IF(B$9=2,'Ptal cykel'!C31,(IF(B$9=3,'Ptal cykel'!D31,(IF(B$9=4,'Ptal cykel'!E31,(IF(B$9=5,'Ptal cykel'!F31,0))))))))),0)</f>
        <v>0</v>
      </c>
      <c r="C50" t="s">
        <v>94</v>
      </c>
    </row>
    <row r="51" spans="1:3" x14ac:dyDescent="0.25">
      <c r="A51" t="s">
        <v>225</v>
      </c>
      <c r="B51" s="20">
        <f>ROUNDUP(Förutsättningar!B42/1000*IF(B$9=1,'Ptal cykel'!B32,(IF(B$9=2,'Ptal cykel'!C32,(IF(B$9=3,'Ptal cykel'!D32,(IF(B$9=4,'Ptal cykel'!E32,(IF(B$9=5,'Ptal cykel'!F32,0))))))))),0)</f>
        <v>0</v>
      </c>
      <c r="C51" t="s">
        <v>94</v>
      </c>
    </row>
    <row r="52" spans="1:3" x14ac:dyDescent="0.25">
      <c r="A52" t="s">
        <v>226</v>
      </c>
      <c r="B52" s="20">
        <f>ROUNDUP(Förutsättningar!B43/1000*IF(B$9=1,'Ptal cykel'!B32,(IF(B$9=2,'Ptal cykel'!C32,(IF(B$9=3,'Ptal cykel'!D32,(IF(B$9=4,'Ptal cykel'!E32,(IF(B$9=5,'Ptal cykel'!F32,0))))))))),0)</f>
        <v>0</v>
      </c>
      <c r="C52" t="s">
        <v>94</v>
      </c>
    </row>
  </sheetData>
  <sheetProtection password="95C7" sheet="1" objects="1" scenarios="1"/>
  <conditionalFormatting sqref="B12">
    <cfRule type="cellIs" dxfId="89" priority="17" operator="greaterThan">
      <formula>0</formula>
    </cfRule>
    <cfRule type="cellIs" dxfId="88" priority="18" operator="greaterThan">
      <formula>0</formula>
    </cfRule>
  </conditionalFormatting>
  <conditionalFormatting sqref="B15:B16">
    <cfRule type="cellIs" dxfId="87" priority="15" operator="greaterThan">
      <formula>0</formula>
    </cfRule>
    <cfRule type="cellIs" dxfId="86" priority="16" operator="greaterThan">
      <formula>0</formula>
    </cfRule>
  </conditionalFormatting>
  <conditionalFormatting sqref="B28:B29">
    <cfRule type="cellIs" dxfId="85" priority="9" operator="greaterThan">
      <formula>0</formula>
    </cfRule>
    <cfRule type="cellIs" dxfId="84" priority="10" operator="greaterThan">
      <formula>0</formula>
    </cfRule>
  </conditionalFormatting>
  <conditionalFormatting sqref="B32:B33">
    <cfRule type="cellIs" dxfId="83" priority="7" operator="greaterThan">
      <formula>0</formula>
    </cfRule>
    <cfRule type="cellIs" dxfId="82" priority="8" operator="greaterThan">
      <formula>0</formula>
    </cfRule>
  </conditionalFormatting>
  <conditionalFormatting sqref="B38:B52">
    <cfRule type="cellIs" dxfId="81" priority="5" operator="greaterThan">
      <formula>0</formula>
    </cfRule>
    <cfRule type="cellIs" dxfId="80" priority="6" operator="greaterThan">
      <formula>0</formula>
    </cfRule>
  </conditionalFormatting>
  <conditionalFormatting sqref="I6">
    <cfRule type="cellIs" dxfId="79" priority="3" operator="greaterThan">
      <formula>0</formula>
    </cfRule>
    <cfRule type="cellIs" dxfId="78" priority="4" operator="greaterThan">
      <formula>0</formula>
    </cfRule>
  </conditionalFormatting>
  <conditionalFormatting sqref="A7">
    <cfRule type="cellIs" dxfId="77" priority="1" operator="greaterThan">
      <formula>0</formula>
    </cfRule>
    <cfRule type="cellIs" dxfId="76" priority="2" operator="greaterThan">
      <formula>0</formula>
    </cfRule>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N65"/>
  <sheetViews>
    <sheetView zoomScaleNormal="100" workbookViewId="0">
      <selection activeCell="A4" sqref="A4"/>
    </sheetView>
  </sheetViews>
  <sheetFormatPr defaultRowHeight="15" x14ac:dyDescent="0.25"/>
  <cols>
    <col min="1" max="1" width="55.140625" customWidth="1"/>
    <col min="2" max="2" width="8.140625" hidden="1" customWidth="1"/>
  </cols>
  <sheetData>
    <row r="4" spans="1:6" ht="18" x14ac:dyDescent="0.25">
      <c r="A4" s="17" t="s">
        <v>158</v>
      </c>
      <c r="E4" t="s">
        <v>304</v>
      </c>
    </row>
    <row r="5" spans="1:6" x14ac:dyDescent="0.25">
      <c r="A5" s="18" t="s">
        <v>114</v>
      </c>
      <c r="E5" s="20">
        <f>(IF(C31&gt;0,C31,(IF(C13&gt;0,C13,C17))))+(IF(C34&gt;0,(C34+C35),IF(C35&gt;0,(C34+C35),C36)))+C39+C40</f>
        <v>0</v>
      </c>
      <c r="F5" t="s">
        <v>275</v>
      </c>
    </row>
    <row r="6" spans="1:6" x14ac:dyDescent="0.25">
      <c r="A6" s="20" t="s">
        <v>115</v>
      </c>
      <c r="E6" s="20">
        <f>C64</f>
        <v>0</v>
      </c>
      <c r="F6" t="s">
        <v>274</v>
      </c>
    </row>
    <row r="7" spans="1:6" x14ac:dyDescent="0.25">
      <c r="A7" s="20" t="s">
        <v>408</v>
      </c>
      <c r="E7" t="s">
        <v>305</v>
      </c>
    </row>
    <row r="8" spans="1:6" x14ac:dyDescent="0.25">
      <c r="E8" s="20">
        <f>(IF(C30&gt;0,C30,(IF(C12&gt;0,C12,C16))))+(IF(C34&gt;0,(C34+C35),IF(C35&gt;0,(C34+C35),C36)))+C39+C40</f>
        <v>0</v>
      </c>
      <c r="F8" t="s">
        <v>275</v>
      </c>
    </row>
    <row r="9" spans="1:6" x14ac:dyDescent="0.25">
      <c r="A9" t="s">
        <v>81</v>
      </c>
      <c r="B9" s="20">
        <f>Förutsättningar!B11</f>
        <v>0</v>
      </c>
      <c r="C9" s="20">
        <f>B9</f>
        <v>0</v>
      </c>
      <c r="E9" s="20">
        <f>C63</f>
        <v>0</v>
      </c>
      <c r="F9" t="s">
        <v>274</v>
      </c>
    </row>
    <row r="11" spans="1:6" ht="18" x14ac:dyDescent="0.25">
      <c r="A11" s="17" t="s">
        <v>184</v>
      </c>
    </row>
    <row r="12" spans="1:6" x14ac:dyDescent="0.25">
      <c r="A12" t="s">
        <v>118</v>
      </c>
      <c r="B12" s="20">
        <f>Förutsättningar!B15/1000*IF(B$9=1,'Ptal bil'!B7,(IF(B$9=2,'Ptal bil'!C7,(IF(B$9=3,'Ptal bil'!D7,(IF(B$9=4,'Ptal bil'!E7,(IF(B$9=5,'Ptal bil'!F7,0)))))))))</f>
        <v>0</v>
      </c>
      <c r="C12" s="20">
        <f>ROUNDUP(B12,0)</f>
        <v>0</v>
      </c>
      <c r="D12" t="s">
        <v>120</v>
      </c>
    </row>
    <row r="13" spans="1:6" x14ac:dyDescent="0.25">
      <c r="B13" s="20">
        <f>Förutsättningar!B15/1000*IF(B$9=1,'Ptal bil'!B8,(IF(B$9=2,'Ptal bil'!C8,(IF(B$9=3,'Ptal bil'!D8,(IF(B$9=4,'Ptal bil'!E8,(IF(B$9=5,'Ptal bil'!F8,0)))))))))</f>
        <v>0</v>
      </c>
      <c r="C13" s="20">
        <f>ROUNDUP(B13,0)</f>
        <v>0</v>
      </c>
      <c r="D13" t="s">
        <v>119</v>
      </c>
    </row>
    <row r="15" spans="1:6" x14ac:dyDescent="0.25">
      <c r="A15" s="19" t="s">
        <v>64</v>
      </c>
    </row>
    <row r="16" spans="1:6" ht="30" x14ac:dyDescent="0.25">
      <c r="A16" s="21" t="s">
        <v>131</v>
      </c>
      <c r="B16" s="20">
        <f>Förutsättningar!B17*IF(B$9=1,'Ptal bil'!B9,(IF(B$9=2,'Ptal bil'!C9,(IF(B$9=3,'Ptal bil'!D9,(IF(B$9=4,'Ptal bil'!E9,(IF(B$9=5,'Ptal bil'!F9,0)))))))))</f>
        <v>0</v>
      </c>
      <c r="C16" s="20">
        <f>ROUNDUP(B16,0)</f>
        <v>0</v>
      </c>
      <c r="D16" t="s">
        <v>120</v>
      </c>
    </row>
    <row r="17" spans="1:14" x14ac:dyDescent="0.25">
      <c r="A17" s="21"/>
      <c r="B17" s="20">
        <f>Förutsättningar!B17*IF(B$9=1,'Ptal bil'!B14,(IF(B$9=2,'Ptal bil'!C14,(IF(B$9=3,'Ptal bil'!D14,(IF(B$9=4,'Ptal bil'!E14,(IF(B$9=5,'Ptal bil'!F14,0)))))))))</f>
        <v>0</v>
      </c>
      <c r="C17" s="20">
        <f>ROUNDUP(B17,0)</f>
        <v>0</v>
      </c>
      <c r="D17" t="s">
        <v>119</v>
      </c>
    </row>
    <row r="18" spans="1:14" x14ac:dyDescent="0.25">
      <c r="A18" s="21"/>
    </row>
    <row r="19" spans="1:14" x14ac:dyDescent="0.25">
      <c r="A19" s="19" t="s">
        <v>64</v>
      </c>
      <c r="I19" t="s">
        <v>334</v>
      </c>
      <c r="M19" s="20">
        <f>(IF(C31&gt;0,3,(IF(C13&gt;0,1,(IF(C17&gt;0,2,0))))))</f>
        <v>0</v>
      </c>
      <c r="N19" t="s">
        <v>276</v>
      </c>
    </row>
    <row r="20" spans="1:14" x14ac:dyDescent="0.25">
      <c r="A20" s="19" t="s">
        <v>82</v>
      </c>
      <c r="B20" s="22">
        <f>Förutsättningar!B19*IF(B$9=1,'Ptal bil'!B10,(IF(B$9=2,'Ptal bil'!C10,(IF(B$9=3,'Ptal bil'!D10,(IF(B$9=4,'Ptal bil'!E10,(IF(B$9=5,'Ptal bil'!F10,0)))))))))</f>
        <v>0</v>
      </c>
      <c r="C20" s="22">
        <f>B20</f>
        <v>0</v>
      </c>
      <c r="D20" t="s">
        <v>120</v>
      </c>
      <c r="E20" s="19"/>
    </row>
    <row r="21" spans="1:14" x14ac:dyDescent="0.25">
      <c r="A21" s="19" t="s">
        <v>83</v>
      </c>
      <c r="B21" s="22">
        <f>Förutsättningar!B20*IF(B$9=1,'Ptal bil'!B11,(IF(B$9=2,'Ptal bil'!C11,(IF(B$9=3,'Ptal bil'!D11,(IF(B$9=4,'Ptal bil'!E11,(IF(B$9=5,'Ptal bil'!F11,0)))))))))</f>
        <v>0</v>
      </c>
      <c r="C21" s="22">
        <f t="shared" ref="C21:C23" si="0">B21</f>
        <v>0</v>
      </c>
      <c r="D21" s="19"/>
      <c r="E21" s="19"/>
    </row>
    <row r="22" spans="1:14" x14ac:dyDescent="0.25">
      <c r="A22" s="19" t="s">
        <v>84</v>
      </c>
      <c r="B22" s="22">
        <f>Förutsättningar!B21*IF(B$9=1,'Ptal bil'!B12,(IF(B$9=2,'Ptal bil'!C12,(IF(B$9=3,'Ptal bil'!D12,(IF(B$9=4,'Ptal bil'!E12,(IF(B$9=5,'Ptal bil'!F12,0)))))))))</f>
        <v>0</v>
      </c>
      <c r="C22" s="22">
        <f t="shared" si="0"/>
        <v>0</v>
      </c>
      <c r="D22" s="19"/>
      <c r="E22" s="19"/>
    </row>
    <row r="23" spans="1:14" x14ac:dyDescent="0.25">
      <c r="A23" s="19" t="s">
        <v>85</v>
      </c>
      <c r="B23" s="22">
        <f>Förutsättningar!B22*IF(B$9=1,'Ptal bil'!B13,(IF(B$9=2,'Ptal bil'!C13,(IF(B$9=3,'Ptal bil'!D13,(IF(B$9=4,'Ptal bil'!E13,(IF(B$9=5,'Ptal bil'!F13,0)))))))))</f>
        <v>0</v>
      </c>
      <c r="C23" s="22">
        <f t="shared" si="0"/>
        <v>0</v>
      </c>
      <c r="D23" s="19"/>
      <c r="E23" s="19"/>
    </row>
    <row r="24" spans="1:14" x14ac:dyDescent="0.25">
      <c r="M24" s="26"/>
    </row>
    <row r="25" spans="1:14" x14ac:dyDescent="0.25">
      <c r="A25" s="19" t="s">
        <v>82</v>
      </c>
      <c r="B25" s="22">
        <f>Förutsättningar!B19*IF(B$9=1,'Ptal bil'!B15,(IF(B$9=2,'Ptal bil'!C15,(IF(B$9=3,'Ptal bil'!D15,(IF(B$9=4,'Ptal bil'!E15,(IF(B$9=5,'Ptal bil'!F15,0)))))))))</f>
        <v>0</v>
      </c>
      <c r="C25" s="22">
        <f>B25</f>
        <v>0</v>
      </c>
      <c r="D25" t="s">
        <v>119</v>
      </c>
      <c r="E25" s="19"/>
    </row>
    <row r="26" spans="1:14" x14ac:dyDescent="0.25">
      <c r="A26" s="19" t="s">
        <v>83</v>
      </c>
      <c r="B26" s="22">
        <f>Förutsättningar!B20*IF(B$9=1,'Ptal bil'!B16,(IF(B$9=2,'Ptal bil'!C16,(IF(B$9=3,'Ptal bil'!D16,(IF(B$9=4,'Ptal bil'!E16,(IF(B$9=5,'Ptal bil'!F16,0)))))))))</f>
        <v>0</v>
      </c>
      <c r="C26" s="22">
        <f t="shared" ref="C26:C28" si="1">B26</f>
        <v>0</v>
      </c>
      <c r="D26" s="19"/>
      <c r="E26" s="19"/>
    </row>
    <row r="27" spans="1:14" x14ac:dyDescent="0.25">
      <c r="A27" s="19" t="s">
        <v>84</v>
      </c>
      <c r="B27" s="22">
        <f>Förutsättningar!B21*IF(B$9=1,'Ptal bil'!B17,(IF(B$9=2,'Ptal bil'!C17,(IF(B$9=3,'Ptal bil'!D17,(IF(B$9=4,'Ptal bil'!E17,(IF(B$9=5,'Ptal bil'!F17,0)))))))))</f>
        <v>0</v>
      </c>
      <c r="C27" s="22">
        <f t="shared" si="1"/>
        <v>0</v>
      </c>
      <c r="D27" s="19"/>
      <c r="E27" s="19"/>
    </row>
    <row r="28" spans="1:14" x14ac:dyDescent="0.25">
      <c r="A28" s="19" t="s">
        <v>85</v>
      </c>
      <c r="B28" s="22">
        <f>Förutsättningar!B22*IF(B$9=1,'Ptal bil'!B18,(IF(B$9=2,'Ptal bil'!C18,(IF(B$9=3,'Ptal bil'!D18,(IF(B$9=4,'Ptal bil'!E18,(IF(B$9=5,'Ptal bil'!F18,0)))))))))</f>
        <v>0</v>
      </c>
      <c r="C28" s="22">
        <f t="shared" si="1"/>
        <v>0</v>
      </c>
      <c r="D28" s="19"/>
      <c r="E28" s="19"/>
    </row>
    <row r="29" spans="1:14" x14ac:dyDescent="0.25">
      <c r="A29" s="19"/>
      <c r="D29" s="19"/>
      <c r="E29" s="19"/>
    </row>
    <row r="30" spans="1:14" ht="30" x14ac:dyDescent="0.25">
      <c r="A30" s="21" t="s">
        <v>121</v>
      </c>
      <c r="B30" s="20">
        <f>SUM(B20:B23)</f>
        <v>0</v>
      </c>
      <c r="C30" s="20">
        <f>ROUNDUP(B30,0)</f>
        <v>0</v>
      </c>
      <c r="D30" t="s">
        <v>120</v>
      </c>
    </row>
    <row r="31" spans="1:14" ht="30" x14ac:dyDescent="0.25">
      <c r="A31" s="21" t="s">
        <v>121</v>
      </c>
      <c r="B31" s="20">
        <f>SUM(B25:B28)</f>
        <v>0</v>
      </c>
      <c r="C31" s="20">
        <f>ROUNDUP(B31,0)</f>
        <v>0</v>
      </c>
      <c r="D31" t="s">
        <v>119</v>
      </c>
    </row>
    <row r="32" spans="1:14" x14ac:dyDescent="0.25">
      <c r="A32" s="21"/>
    </row>
    <row r="33" spans="1:4" ht="18" x14ac:dyDescent="0.25">
      <c r="A33" s="17" t="s">
        <v>182</v>
      </c>
    </row>
    <row r="34" spans="1:4" ht="30" x14ac:dyDescent="0.25">
      <c r="A34" s="21" t="s">
        <v>134</v>
      </c>
      <c r="B34" s="20">
        <f>Förutsättningar!B26*IF(B$9=1,'Ptal bil'!B19,(IF('Bil grundtal'!B$9=2,'Ptal bil'!C19,(IF(B$9=3,'Ptal bil'!D19,(IF(B$9=4,'Ptal bil'!E19,(IF(B$9=5,'Ptal bil'!F19,0)))))))))</f>
        <v>0</v>
      </c>
      <c r="C34" s="20">
        <f>ROUNDUP(B34,0)</f>
        <v>0</v>
      </c>
      <c r="D34" s="32" t="s">
        <v>119</v>
      </c>
    </row>
    <row r="35" spans="1:4" ht="30" x14ac:dyDescent="0.25">
      <c r="A35" s="21" t="s">
        <v>133</v>
      </c>
      <c r="B35" s="20">
        <f>Förutsättningar!B27*IF(B$9=1,'Ptal bil'!B20,(IF('Bil grundtal'!B$9=2,'Ptal bil'!C20,(IF(B$9=3,'Ptal bil'!D20,(IF(B$9=4,'Ptal bil'!E20,(IF(B$9=5,'Ptal bil'!F20,0)))))))))</f>
        <v>0</v>
      </c>
      <c r="C35" s="20">
        <f>ROUNDUP(B35,0)</f>
        <v>0</v>
      </c>
      <c r="D35" t="s">
        <v>119</v>
      </c>
    </row>
    <row r="36" spans="1:4" x14ac:dyDescent="0.25">
      <c r="A36" t="s">
        <v>132</v>
      </c>
      <c r="B36" s="20">
        <f>Förutsättningar!B25/1000*IF(B$9=1,'Ptal bil'!B21,(IF('Bil grundtal'!B$9=2,'Ptal bil'!C21,(IF(B$9=3,'Ptal bil'!D21,(IF(B$9=4,'Ptal bil'!E21,(IF(B$9=5,'Ptal bil'!F21,0)))))))))</f>
        <v>0</v>
      </c>
      <c r="C36" s="20">
        <f>ROUNDUP(B36,0)</f>
        <v>0</v>
      </c>
      <c r="D36" t="s">
        <v>119</v>
      </c>
    </row>
    <row r="38" spans="1:4" ht="18" x14ac:dyDescent="0.25">
      <c r="A38" s="17" t="s">
        <v>183</v>
      </c>
    </row>
    <row r="39" spans="1:4" ht="30" x14ac:dyDescent="0.25">
      <c r="A39" s="21" t="s">
        <v>135</v>
      </c>
      <c r="B39" s="20">
        <f>Förutsättningar!B30*IF(B$9=1,'Ptal bil'!B22,(IF(B$9=2,'Ptal bil'!C22,(IF(B$9=3,'Ptal bil'!D22,(IF(B$9=4,'Ptal bil'!E22,(IF(B$9=5,'Ptal bil'!F22,0)))))))))</f>
        <v>0</v>
      </c>
      <c r="C39" s="20">
        <f>ROUNDUP(B39,0)</f>
        <v>0</v>
      </c>
    </row>
    <row r="40" spans="1:4" ht="30" x14ac:dyDescent="0.25">
      <c r="A40" s="21" t="s">
        <v>136</v>
      </c>
      <c r="B40" s="20">
        <f>Förutsättningar!B31*IF(B$9=1,'Ptal bil'!B23,(IF(B$9=2,'Ptal bil'!C23,(IF(B$9=3,'Ptal bil'!D23,(IF(B$9=4,'Ptal bil'!E23,(IF(B$9=5,'Ptal bil'!F23,0)))))))))</f>
        <v>0</v>
      </c>
      <c r="C40" s="20">
        <f>ROUNDUP(B40,0)</f>
        <v>0</v>
      </c>
    </row>
    <row r="42" spans="1:4" ht="18" x14ac:dyDescent="0.25">
      <c r="A42" s="17" t="s">
        <v>129</v>
      </c>
    </row>
    <row r="43" spans="1:4" x14ac:dyDescent="0.25">
      <c r="A43" t="s">
        <v>122</v>
      </c>
      <c r="B43" s="20">
        <f>Förutsättningar!B34/1000*IF(B$9=1,'Ptal bil'!B25,(IF(B$9=2,'Ptal bil'!C25,(IF(B$9=3,'Ptal bil'!D25,(IF(B$9=4,'Ptal bil'!E25,(IF(B$9=5,'Ptal bil'!F25,0)))))))))</f>
        <v>0</v>
      </c>
      <c r="C43" s="20">
        <f>ROUNDUP(B43,0)</f>
        <v>0</v>
      </c>
      <c r="D43" t="s">
        <v>119</v>
      </c>
    </row>
    <row r="44" spans="1:4" x14ac:dyDescent="0.25">
      <c r="A44" t="s">
        <v>123</v>
      </c>
      <c r="B44" s="20">
        <f>Förutsättningar!B34/1000*IF(B$9=1,'Ptal bil'!B24,(IF(B$9=2,'Ptal bil'!C24,(IF(B$9=3,'Ptal bil'!D24,(IF(B$9=4,'Ptal bil'!E24,(IF(B$9=5,'Ptal bil'!F24,0)))))))))</f>
        <v>0</v>
      </c>
      <c r="C44" s="20">
        <f>ROUNDUP(B44,0)</f>
        <v>0</v>
      </c>
      <c r="D44" t="s">
        <v>120</v>
      </c>
    </row>
    <row r="46" spans="1:4" x14ac:dyDescent="0.25">
      <c r="A46" t="s">
        <v>124</v>
      </c>
      <c r="B46" s="20">
        <f>Förutsättningar!B35/1000*IF(B$9=1,'Ptal bil'!B27,(IF(B$9=2,'Ptal bil'!C27,(IF(B$9=3,'Ptal bil'!D27,(IF(B$9=4,'Ptal bil'!E27,(IF(B$9=5,'Ptal bil'!F27,0)))))))))</f>
        <v>0</v>
      </c>
      <c r="C46" s="20">
        <f>ROUNDUP(B46,0)</f>
        <v>0</v>
      </c>
      <c r="D46" t="s">
        <v>119</v>
      </c>
    </row>
    <row r="47" spans="1:4" x14ac:dyDescent="0.25">
      <c r="A47" t="s">
        <v>125</v>
      </c>
      <c r="B47" s="20">
        <f>Förutsättningar!B35/1000*IF(B$9=1,'Ptal bil'!B26,(IF(B$9=2,'Ptal bil'!C26,(IF(B$9=3,'Ptal bil'!D26,(IF(B$9=4,'Ptal bil'!E26,(IF(B$9=5,'Ptal bil'!F26,0)))))))))</f>
        <v>0</v>
      </c>
      <c r="C47" s="20">
        <f>ROUNDUP(B47,0)</f>
        <v>0</v>
      </c>
      <c r="D47" t="s">
        <v>120</v>
      </c>
    </row>
    <row r="49" spans="1:4" x14ac:dyDescent="0.25">
      <c r="A49" t="s">
        <v>137</v>
      </c>
      <c r="B49" s="20">
        <f>Förutsättningar!B36/1000*IF(B$9=1,'Ptal bil'!B30,(IF(B$9=2,'Ptal bil'!C30,(IF(B$9=3,'Ptal bil'!D30,(IF(B$9=4,'Ptal bil'!E30,(IF(B$9=5,'Ptal bil'!F30,0)))))))))</f>
        <v>0</v>
      </c>
      <c r="C49" s="20">
        <f>ROUNDUP(B49,0)</f>
        <v>0</v>
      </c>
      <c r="D49" t="s">
        <v>141</v>
      </c>
    </row>
    <row r="50" spans="1:4" x14ac:dyDescent="0.25">
      <c r="A50" t="s">
        <v>138</v>
      </c>
      <c r="B50" s="20">
        <f>Förutsättningar!B36/1000*IF(B$9=1,'Ptal bil'!B31,(IF(B$9=2,'Ptal bil'!C31,(IF(B$9=3,'Ptal bil'!D31,(IF(B$9=4,'Ptal bil'!E31,(IF(B$9=5,'Ptal bil'!F31,0)))))))))</f>
        <v>0</v>
      </c>
      <c r="C50" s="20">
        <f>ROUNDUP(B50,0)</f>
        <v>0</v>
      </c>
      <c r="D50" t="s">
        <v>142</v>
      </c>
    </row>
    <row r="52" spans="1:4" x14ac:dyDescent="0.25">
      <c r="A52" t="s">
        <v>139</v>
      </c>
      <c r="B52" s="20">
        <f>Förutsättningar!B37/1000*IF(B$9=1,'Ptal bil'!B32,(IF(B$9=2,'Ptal bil'!C32,(IF(B$9=3,'Ptal bil'!D32,(IF(B$9=4,'Ptal bil'!E32,(IF(B$9=5,'Ptal bil'!F32,0)))))))))</f>
        <v>0</v>
      </c>
      <c r="C52" s="20">
        <f>ROUNDUP(B52,0)</f>
        <v>0</v>
      </c>
      <c r="D52" t="s">
        <v>141</v>
      </c>
    </row>
    <row r="53" spans="1:4" x14ac:dyDescent="0.25">
      <c r="A53" t="s">
        <v>140</v>
      </c>
      <c r="B53" s="20">
        <f>Förutsättningar!B37/1000*IF(B$9=1,'Ptal bil'!B33,(IF(B$9=2,'Ptal bil'!C33,(IF(B$9=3,'Ptal bil'!D33,(IF(B$9=4,'Ptal bil'!E33,(IF(B$9=5,'Ptal bil'!F33,0)))))))))</f>
        <v>0</v>
      </c>
      <c r="C53" s="20">
        <f>ROUNDUP(B53,0)</f>
        <v>0</v>
      </c>
      <c r="D53" t="s">
        <v>142</v>
      </c>
    </row>
    <row r="55" spans="1:4" x14ac:dyDescent="0.25">
      <c r="A55" t="s">
        <v>126</v>
      </c>
      <c r="B55" s="20">
        <f>Förutsättningar!B38/1000*IF(B$9=1,'Ptal bil'!B28,(IF(B$9=2,'Ptal bil'!C28,(IF(B$9=3,'Ptal bil'!D28,(IF(B$9=4,'Ptal bil'!E28,(IF(B$9=5,'Ptal bil'!F28,0)))))))))</f>
        <v>0</v>
      </c>
      <c r="C55" s="20">
        <f>ROUNDUP(B55,0)</f>
        <v>0</v>
      </c>
      <c r="D55" t="s">
        <v>141</v>
      </c>
    </row>
    <row r="56" spans="1:4" x14ac:dyDescent="0.25">
      <c r="A56" t="s">
        <v>127</v>
      </c>
      <c r="B56" s="20">
        <f>Förutsättningar!B39/1000*IF(B$9=1,'Ptal bil'!B28,(IF(B$9=2,'Ptal bil'!C28,(IF(B$9=3,'Ptal bil'!D28,(IF(B$9=4,'Ptal bil'!E28,(IF(B$9=5,'Ptal bil'!F28,0)))))))))</f>
        <v>0</v>
      </c>
      <c r="C56" s="20">
        <f>ROUNDUP(B56,0)</f>
        <v>0</v>
      </c>
      <c r="D56" t="s">
        <v>141</v>
      </c>
    </row>
    <row r="57" spans="1:4" x14ac:dyDescent="0.25">
      <c r="A57" t="s">
        <v>128</v>
      </c>
      <c r="B57" s="20">
        <f>Förutsättningar!B40/1000*IF(B$9=1,'Ptal bil'!B29,(IF(B$9=2,'Ptal bil'!C29,(IF(B$9=3,'Ptal bil'!D29,(IF(B$9=4,'Ptal bil'!E29,(IF(B$9=5,'Ptal bil'!F29,0)))))))))</f>
        <v>0</v>
      </c>
      <c r="C57" s="20">
        <f>ROUNDUP(B57,0)</f>
        <v>0</v>
      </c>
      <c r="D57" t="s">
        <v>141</v>
      </c>
    </row>
    <row r="59" spans="1:4" x14ac:dyDescent="0.25">
      <c r="A59" t="s">
        <v>227</v>
      </c>
      <c r="B59" s="20">
        <f>Förutsättningar!B41/1000*IF('Bil grundtal'!B$9=1,'Ptal bil'!B35,(IF(B$9=2,'Ptal bil'!C35,(IF(B$9=3,'Ptal bil'!D35,(IF(B$9=4,'Ptal bil'!E35,(IF(B$9=5,'Ptal bil'!F35,0)))))))))</f>
        <v>0</v>
      </c>
      <c r="C59" s="20">
        <f>ROUNDUP(B59,0)</f>
        <v>0</v>
      </c>
      <c r="D59" t="s">
        <v>119</v>
      </c>
    </row>
    <row r="60" spans="1:4" x14ac:dyDescent="0.25">
      <c r="A60" t="s">
        <v>228</v>
      </c>
      <c r="B60" s="20">
        <f>Förutsättningar!B42/1000*IF('Bil grundtal'!B$9=1,'Ptal bil'!B37,(IF(B$9=2,'Ptal bil'!C37,(IF(B$9=3,'Ptal bil'!D37,(IF(B$9=4,'Ptal bil'!E37,(IF(B$9=5,'Ptal bil'!F37,0)))))))))</f>
        <v>0</v>
      </c>
      <c r="C60" s="20">
        <f>ROUNDUP(B60,0)</f>
        <v>0</v>
      </c>
      <c r="D60" t="s">
        <v>119</v>
      </c>
    </row>
    <row r="61" spans="1:4" x14ac:dyDescent="0.25">
      <c r="A61" t="s">
        <v>229</v>
      </c>
      <c r="B61" s="20">
        <f>Förutsättningar!B43/1000*IF('Bil grundtal'!B$9=1,'Ptal bil'!B39,(IF(B$9=2,'Ptal bil'!C39,(IF(B$9=3,'Ptal bil'!D39,(IF(B$9=4,'Ptal bil'!E39,(IF(B$9=5,'Ptal bil'!F39,0)))))))))</f>
        <v>0</v>
      </c>
      <c r="C61" s="20">
        <f>ROUNDUP(B61,0)</f>
        <v>0</v>
      </c>
      <c r="D61" t="s">
        <v>119</v>
      </c>
    </row>
    <row r="63" spans="1:4" x14ac:dyDescent="0.25">
      <c r="A63" s="26" t="s">
        <v>186</v>
      </c>
      <c r="B63" s="20">
        <f>B44+B47+B49+B52+B55+B56+B57+B59+B60+B61</f>
        <v>0</v>
      </c>
      <c r="C63" s="20">
        <f>C44+C47+C49+C52+C55+C56+C57+C59+C60+C61</f>
        <v>0</v>
      </c>
      <c r="D63" t="s">
        <v>120</v>
      </c>
    </row>
    <row r="64" spans="1:4" x14ac:dyDescent="0.25">
      <c r="A64" s="26" t="s">
        <v>186</v>
      </c>
      <c r="B64" s="20">
        <f>B43+B46+B49+B50+B52+B53+B55+B56+B57+B59+B60+B61</f>
        <v>0</v>
      </c>
      <c r="C64" s="20">
        <f>C43+C46+C49+C50+C52+C53+C55+C56+C57+C59+C60+C61</f>
        <v>0</v>
      </c>
      <c r="D64" t="s">
        <v>119</v>
      </c>
    </row>
    <row r="65" spans="1:4" x14ac:dyDescent="0.25">
      <c r="A65" t="s">
        <v>186</v>
      </c>
      <c r="B65" s="20">
        <f>B44+B47+B49+B52+B55+B56+B57</f>
        <v>0</v>
      </c>
      <c r="C65" s="20">
        <f>C44+C47+C49+C52+C55+C56+C57</f>
        <v>0</v>
      </c>
      <c r="D65" t="s">
        <v>426</v>
      </c>
    </row>
  </sheetData>
  <sheetProtection password="95C7" sheet="1" objects="1" scenarios="1"/>
  <conditionalFormatting sqref="B12:C13 B16:C17 B30:C31 B34:C36 B39:C40 B43:C44 B46:C47 B49:C50 B52:C53 B55:C57">
    <cfRule type="cellIs" dxfId="75" priority="13" operator="greaterThan">
      <formula>0</formula>
    </cfRule>
  </conditionalFormatting>
  <conditionalFormatting sqref="B59:B61">
    <cfRule type="cellIs" dxfId="74" priority="12" operator="greaterThan">
      <formula>0</formula>
    </cfRule>
  </conditionalFormatting>
  <conditionalFormatting sqref="B64:C64">
    <cfRule type="cellIs" dxfId="73" priority="11" operator="greaterThan">
      <formula>0</formula>
    </cfRule>
  </conditionalFormatting>
  <conditionalFormatting sqref="C59">
    <cfRule type="cellIs" dxfId="72" priority="10" operator="greaterThan">
      <formula>0</formula>
    </cfRule>
  </conditionalFormatting>
  <conditionalFormatting sqref="C60">
    <cfRule type="cellIs" dxfId="71" priority="9" operator="greaterThan">
      <formula>0</formula>
    </cfRule>
  </conditionalFormatting>
  <conditionalFormatting sqref="C61">
    <cfRule type="cellIs" dxfId="70" priority="8" operator="greaterThan">
      <formula>0</formula>
    </cfRule>
  </conditionalFormatting>
  <conditionalFormatting sqref="E5:E6">
    <cfRule type="cellIs" dxfId="69" priority="6" operator="greaterThan">
      <formula>0</formula>
    </cfRule>
  </conditionalFormatting>
  <conditionalFormatting sqref="E8:E9">
    <cfRule type="cellIs" dxfId="68" priority="5" operator="greaterThan">
      <formula>0</formula>
    </cfRule>
  </conditionalFormatting>
  <conditionalFormatting sqref="B63:C63">
    <cfRule type="cellIs" dxfId="67" priority="4" operator="greaterThan">
      <formula>0</formula>
    </cfRule>
  </conditionalFormatting>
  <conditionalFormatting sqref="A7">
    <cfRule type="cellIs" dxfId="66" priority="2" operator="greaterThan">
      <formula>0</formula>
    </cfRule>
    <cfRule type="cellIs" dxfId="65" priority="3" operator="greaterThan">
      <formula>0</formula>
    </cfRule>
  </conditionalFormatting>
  <conditionalFormatting sqref="B65:C65">
    <cfRule type="cellIs" dxfId="64" priority="1" operator="greaterThan">
      <formula>0</formula>
    </cfRule>
  </conditionalFormatting>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N61"/>
  <sheetViews>
    <sheetView workbookViewId="0">
      <selection activeCell="A4" sqref="A4"/>
    </sheetView>
  </sheetViews>
  <sheetFormatPr defaultRowHeight="15" x14ac:dyDescent="0.25"/>
  <cols>
    <col min="1" max="1" width="60.42578125" customWidth="1"/>
    <col min="7" max="7" width="8.42578125" customWidth="1"/>
    <col min="8" max="8" width="7.42578125" hidden="1" customWidth="1"/>
    <col min="9" max="9" width="13.5703125" style="51" customWidth="1"/>
    <col min="10" max="10" width="8.5703125" customWidth="1"/>
    <col min="11" max="11" width="15.42578125" customWidth="1"/>
    <col min="12" max="12" width="6.42578125" customWidth="1"/>
    <col min="14" max="14" width="9.5703125" customWidth="1"/>
    <col min="16" max="16" width="8" customWidth="1"/>
    <col min="18" max="18" width="10.5703125" customWidth="1"/>
  </cols>
  <sheetData>
    <row r="4" spans="1:11" ht="20.25" x14ac:dyDescent="0.3">
      <c r="A4" s="17" t="s">
        <v>159</v>
      </c>
      <c r="I4" s="25" t="s">
        <v>175</v>
      </c>
    </row>
    <row r="5" spans="1:11" x14ac:dyDescent="0.25">
      <c r="A5" s="18" t="s">
        <v>114</v>
      </c>
    </row>
    <row r="6" spans="1:11" x14ac:dyDescent="0.25">
      <c r="A6" s="20" t="s">
        <v>115</v>
      </c>
      <c r="H6" s="51"/>
      <c r="I6" s="26" t="s">
        <v>177</v>
      </c>
    </row>
    <row r="7" spans="1:11" x14ac:dyDescent="0.25">
      <c r="A7" s="20" t="s">
        <v>408</v>
      </c>
      <c r="H7" s="52">
        <f>B16+B21+B26</f>
        <v>0</v>
      </c>
      <c r="I7" s="20">
        <f>ROUNDUP(H7,0)</f>
        <v>0</v>
      </c>
      <c r="J7" t="s">
        <v>120</v>
      </c>
    </row>
    <row r="8" spans="1:11" x14ac:dyDescent="0.25">
      <c r="H8" s="52">
        <f>B18+B23+B28</f>
        <v>0</v>
      </c>
      <c r="I8" t="s">
        <v>174</v>
      </c>
      <c r="J8" s="20">
        <f>ROUNDUP(H8,0)</f>
        <v>0</v>
      </c>
      <c r="K8" t="s">
        <v>203</v>
      </c>
    </row>
    <row r="9" spans="1:11" x14ac:dyDescent="0.25">
      <c r="A9" t="s">
        <v>81</v>
      </c>
      <c r="B9" s="20">
        <f>Förutsättningar!B11</f>
        <v>0</v>
      </c>
      <c r="H9" s="51"/>
      <c r="I9"/>
    </row>
    <row r="10" spans="1:11" x14ac:dyDescent="0.25">
      <c r="A10" t="s">
        <v>205</v>
      </c>
      <c r="B10" s="50">
        <v>0.2</v>
      </c>
      <c r="C10" t="s">
        <v>425</v>
      </c>
      <c r="H10" s="51"/>
      <c r="I10" s="35" t="s">
        <v>116</v>
      </c>
    </row>
    <row r="11" spans="1:11" x14ac:dyDescent="0.25">
      <c r="A11" t="s">
        <v>206</v>
      </c>
      <c r="B11" s="50">
        <v>0.2</v>
      </c>
      <c r="C11" t="s">
        <v>425</v>
      </c>
      <c r="H11" s="52">
        <f>IF('Bil grundtal'!C34&gt;0,('Bil grundtal'!C34+'Bil grundtal'!C35),IF('Bil grundtal'!C35&gt;0,('Bil grundtal'!C34+'Bil grundtal'!C35),'Bil grundtal'!C36))</f>
        <v>0</v>
      </c>
      <c r="I11" s="20">
        <f>ROUNDUP(H11,0)</f>
        <v>0</v>
      </c>
      <c r="J11" t="s">
        <v>410</v>
      </c>
    </row>
    <row r="12" spans="1:11" x14ac:dyDescent="0.25">
      <c r="H12" s="51"/>
      <c r="I12"/>
    </row>
    <row r="13" spans="1:11" x14ac:dyDescent="0.25">
      <c r="H13" s="51"/>
      <c r="I13" s="26" t="s">
        <v>259</v>
      </c>
    </row>
    <row r="14" spans="1:11" x14ac:dyDescent="0.25">
      <c r="H14" s="52">
        <f>B30</f>
        <v>0</v>
      </c>
      <c r="I14" s="20">
        <f>ROUNDUP(H14,0)</f>
        <v>0</v>
      </c>
      <c r="J14" t="s">
        <v>187</v>
      </c>
    </row>
    <row r="15" spans="1:11" ht="18" x14ac:dyDescent="0.25">
      <c r="A15" s="17" t="s">
        <v>201</v>
      </c>
      <c r="H15" s="51"/>
      <c r="I15"/>
    </row>
    <row r="16" spans="1:11" x14ac:dyDescent="0.25">
      <c r="A16" t="s">
        <v>161</v>
      </c>
      <c r="B16" s="20">
        <f>IF('Bil grundtal'!$M$19=1,('Bil grundtal'!C12-(B10*'Bil grundtal'!C12)),0)</f>
        <v>0</v>
      </c>
      <c r="C16" t="s">
        <v>120</v>
      </c>
      <c r="H16" s="51"/>
      <c r="I16" s="35" t="s">
        <v>260</v>
      </c>
    </row>
    <row r="17" spans="1:14" x14ac:dyDescent="0.25">
      <c r="A17" s="19" t="s">
        <v>189</v>
      </c>
      <c r="H17" s="52">
        <f>'Bil grundtal'!B39</f>
        <v>0</v>
      </c>
      <c r="I17" s="20">
        <f>ROUNDUP(H17,0)</f>
        <v>0</v>
      </c>
      <c r="J17" t="s">
        <v>410</v>
      </c>
    </row>
    <row r="18" spans="1:14" x14ac:dyDescent="0.25">
      <c r="A18" t="s">
        <v>162</v>
      </c>
      <c r="B18" s="20">
        <f>IF('Bil grundtal'!M19=1,('Bil grundtal'!C13-'Bil grundtal'!C12),0)</f>
        <v>0</v>
      </c>
      <c r="C18" t="s">
        <v>142</v>
      </c>
      <c r="H18" s="51"/>
      <c r="I18"/>
    </row>
    <row r="19" spans="1:14" x14ac:dyDescent="0.25">
      <c r="H19" s="51"/>
      <c r="I19" s="26" t="s">
        <v>67</v>
      </c>
    </row>
    <row r="20" spans="1:14" x14ac:dyDescent="0.25">
      <c r="A20" s="19" t="s">
        <v>64</v>
      </c>
      <c r="H20" s="52">
        <f>B37+B41+B45+B49+B53+B54+B55</f>
        <v>0</v>
      </c>
      <c r="I20" s="20">
        <f>ROUNDUP(H20,0)</f>
        <v>0</v>
      </c>
      <c r="J20" t="s">
        <v>188</v>
      </c>
    </row>
    <row r="21" spans="1:14" ht="30" x14ac:dyDescent="0.25">
      <c r="A21" s="21" t="s">
        <v>163</v>
      </c>
      <c r="B21" s="20">
        <f>IF('Bil grundtal'!M19=2,('Bil grundtal'!C16-(B10*'Bil grundtal'!C16)),0)</f>
        <v>0</v>
      </c>
      <c r="C21" t="s">
        <v>120</v>
      </c>
      <c r="H21" s="52">
        <f>B39+B43+B47+B51+B57+B58+B59</f>
        <v>0</v>
      </c>
      <c r="I21" t="s">
        <v>174</v>
      </c>
      <c r="J21" s="20">
        <f>ROUNDUP(H21,0)</f>
        <v>0</v>
      </c>
      <c r="K21" t="s">
        <v>190</v>
      </c>
    </row>
    <row r="22" spans="1:14" x14ac:dyDescent="0.25">
      <c r="A22" s="19" t="s">
        <v>189</v>
      </c>
      <c r="H22" s="51"/>
      <c r="I22"/>
    </row>
    <row r="23" spans="1:14" x14ac:dyDescent="0.25">
      <c r="A23" t="s">
        <v>162</v>
      </c>
      <c r="B23" s="20">
        <f>IF('Bil grundtal'!M19=2,('Bil grundtal'!C17-'Bil grundtal'!C16),0)</f>
        <v>0</v>
      </c>
      <c r="C23" t="s">
        <v>142</v>
      </c>
      <c r="I23" s="26" t="s">
        <v>306</v>
      </c>
      <c r="N23" s="37"/>
    </row>
    <row r="24" spans="1:14" x14ac:dyDescent="0.25">
      <c r="H24" s="51"/>
      <c r="I24" s="20">
        <f>(IF('Bil grundtal'!C30&gt;0,'Bil grundtal'!C30,(IF('Bil grundtal'!C12&gt;0,'Bil grundtal'!C12,'Bil grundtal'!C16))))+'Bil grundtal'!C40+'Bil grundtal'!C65</f>
        <v>0</v>
      </c>
      <c r="J24" t="s">
        <v>173</v>
      </c>
      <c r="K24" s="20">
        <f>I7+I14+I20</f>
        <v>0</v>
      </c>
      <c r="L24" t="s">
        <v>308</v>
      </c>
      <c r="N24" s="38"/>
    </row>
    <row r="25" spans="1:14" x14ac:dyDescent="0.25">
      <c r="A25" s="19" t="s">
        <v>64</v>
      </c>
      <c r="H25" s="52" t="b">
        <f>IF(((I24)&gt;40),((I24)*0.05),IF(((I24)&gt;0),1))</f>
        <v>0</v>
      </c>
      <c r="I25" t="s">
        <v>335</v>
      </c>
      <c r="J25" s="20">
        <f>IF((B10+B11)&gt;0,(ROUNDUP(H25,0)),0)</f>
        <v>0</v>
      </c>
      <c r="K25" t="s">
        <v>301</v>
      </c>
      <c r="N25" s="37"/>
    </row>
    <row r="26" spans="1:14" ht="30" x14ac:dyDescent="0.25">
      <c r="A26" s="21" t="s">
        <v>164</v>
      </c>
      <c r="B26" s="20">
        <f>IF('Bil grundtal'!M19=3,('Bil grundtal'!C30-(B10*'Bil grundtal'!C30)),0)</f>
        <v>0</v>
      </c>
      <c r="C26" t="s">
        <v>120</v>
      </c>
      <c r="H26" s="51"/>
      <c r="I26"/>
      <c r="N26" s="37"/>
    </row>
    <row r="27" spans="1:14" ht="20.25" x14ac:dyDescent="0.3">
      <c r="A27" s="19" t="s">
        <v>189</v>
      </c>
      <c r="H27" s="51"/>
      <c r="I27" s="25" t="s">
        <v>195</v>
      </c>
    </row>
    <row r="28" spans="1:14" x14ac:dyDescent="0.25">
      <c r="A28" t="s">
        <v>162</v>
      </c>
      <c r="B28" s="20">
        <f>IF('Bil grundtal'!M19=3,('Bil grundtal'!C31-'Bil grundtal'!C30),0)</f>
        <v>0</v>
      </c>
      <c r="C28" t="s">
        <v>142</v>
      </c>
      <c r="H28" s="52">
        <f>IF('Bil grundtal'!M19=1,'Bil grundtal'!B12,IF('Bil grundtal'!M19=2,'Bil grundtal'!B16,IF('Bil grundtal'!M19=3,'Bil grundtal'!B30,0)))</f>
        <v>0</v>
      </c>
      <c r="I28" t="s">
        <v>196</v>
      </c>
      <c r="K28" s="20">
        <f>ROUNDUP(H28,0)</f>
        <v>0</v>
      </c>
      <c r="L28" t="s">
        <v>198</v>
      </c>
    </row>
    <row r="29" spans="1:14" x14ac:dyDescent="0.25">
      <c r="H29" s="52">
        <f>H28-H7</f>
        <v>0</v>
      </c>
      <c r="I29" t="s">
        <v>427</v>
      </c>
      <c r="L29" s="20">
        <f>K28-I7</f>
        <v>0</v>
      </c>
      <c r="M29" t="s">
        <v>197</v>
      </c>
    </row>
    <row r="30" spans="1:14" ht="30" x14ac:dyDescent="0.25">
      <c r="A30" s="21" t="s">
        <v>176</v>
      </c>
      <c r="B30" s="20">
        <f>'Bil grundtal'!B40-(B10*'Bil grundtal'!B40)</f>
        <v>0</v>
      </c>
      <c r="H30" s="51"/>
      <c r="I30"/>
    </row>
    <row r="31" spans="1:14" x14ac:dyDescent="0.25">
      <c r="A31" s="21"/>
      <c r="H31" s="52">
        <f>'Bil grundtal'!B40</f>
        <v>0</v>
      </c>
      <c r="I31" t="s">
        <v>196</v>
      </c>
      <c r="K31" s="20">
        <f>ROUNDUP(H31,0)</f>
        <v>0</v>
      </c>
      <c r="L31" t="s">
        <v>199</v>
      </c>
    </row>
    <row r="32" spans="1:14" x14ac:dyDescent="0.25">
      <c r="A32" s="21"/>
      <c r="H32" s="52">
        <f>H31-H14</f>
        <v>0</v>
      </c>
      <c r="I32" t="s">
        <v>427</v>
      </c>
      <c r="L32" s="20">
        <f>K31-I14</f>
        <v>0</v>
      </c>
      <c r="M32" t="s">
        <v>197</v>
      </c>
    </row>
    <row r="33" spans="1:14" x14ac:dyDescent="0.25">
      <c r="A33" s="21"/>
      <c r="H33" s="51"/>
      <c r="I33"/>
    </row>
    <row r="34" spans="1:14" x14ac:dyDescent="0.25">
      <c r="A34" s="21"/>
      <c r="H34" s="52">
        <f>'Bil grundtal'!B44+'Bil grundtal'!B47+'Bil grundtal'!B49+'Bil grundtal'!B52+'Bil grundtal'!B55+'Bil grundtal'!B56+'Bil grundtal'!B57</f>
        <v>0</v>
      </c>
      <c r="I34" t="s">
        <v>196</v>
      </c>
      <c r="K34" s="20">
        <f>ROUNDUP(H34,0)</f>
        <v>0</v>
      </c>
      <c r="L34" t="s">
        <v>200</v>
      </c>
    </row>
    <row r="35" spans="1:14" x14ac:dyDescent="0.25">
      <c r="H35" s="52">
        <f>H34-H20</f>
        <v>0</v>
      </c>
      <c r="I35" t="s">
        <v>427</v>
      </c>
      <c r="L35" s="20">
        <f>K34-I20</f>
        <v>0</v>
      </c>
      <c r="M35" t="s">
        <v>197</v>
      </c>
    </row>
    <row r="36" spans="1:14" ht="18" x14ac:dyDescent="0.25">
      <c r="A36" s="17" t="s">
        <v>202</v>
      </c>
      <c r="H36" s="51"/>
      <c r="I36"/>
    </row>
    <row r="37" spans="1:14" x14ac:dyDescent="0.25">
      <c r="A37" t="s">
        <v>165</v>
      </c>
      <c r="B37" s="20">
        <f>'Bil grundtal'!C44-(B11*'Bil grundtal'!C44)</f>
        <v>0</v>
      </c>
      <c r="C37" t="s">
        <v>141</v>
      </c>
      <c r="I37" s="26" t="s">
        <v>273</v>
      </c>
      <c r="M37" s="20">
        <f>L29+L32+L35</f>
        <v>0</v>
      </c>
      <c r="N37" s="26" t="s">
        <v>197</v>
      </c>
    </row>
    <row r="38" spans="1:14" x14ac:dyDescent="0.25">
      <c r="A38" s="19" t="s">
        <v>160</v>
      </c>
      <c r="B38" s="24" t="s">
        <v>172</v>
      </c>
      <c r="I38" s="26" t="s">
        <v>298</v>
      </c>
      <c r="M38" s="20">
        <f>J25</f>
        <v>0</v>
      </c>
      <c r="N38" s="26" t="s">
        <v>299</v>
      </c>
    </row>
    <row r="39" spans="1:14" x14ac:dyDescent="0.25">
      <c r="A39" t="s">
        <v>162</v>
      </c>
      <c r="B39" s="20">
        <f>'Bil grundtal'!C43-'Bil grundtal'!C44</f>
        <v>0</v>
      </c>
      <c r="C39" t="s">
        <v>142</v>
      </c>
      <c r="I39"/>
      <c r="J39" s="51"/>
    </row>
    <row r="41" spans="1:14" x14ac:dyDescent="0.25">
      <c r="A41" t="s">
        <v>166</v>
      </c>
      <c r="B41" s="20">
        <f>'Bil grundtal'!C47-(B11*'Bil grundtal'!C47)</f>
        <v>0</v>
      </c>
      <c r="C41" t="s">
        <v>141</v>
      </c>
      <c r="I41"/>
      <c r="J41" s="51"/>
    </row>
    <row r="42" spans="1:14" x14ac:dyDescent="0.25">
      <c r="A42" s="19" t="s">
        <v>160</v>
      </c>
      <c r="B42" s="24" t="s">
        <v>172</v>
      </c>
    </row>
    <row r="43" spans="1:14" x14ac:dyDescent="0.25">
      <c r="A43" t="s">
        <v>162</v>
      </c>
      <c r="B43" s="20">
        <f>'Bil grundtal'!C46-'Bil grundtal'!C47</f>
        <v>0</v>
      </c>
      <c r="C43" t="s">
        <v>142</v>
      </c>
    </row>
    <row r="45" spans="1:14" x14ac:dyDescent="0.25">
      <c r="A45" t="s">
        <v>167</v>
      </c>
      <c r="B45" s="20">
        <f>'Bil grundtal'!C49-(B11*'Bil grundtal'!C49)</f>
        <v>0</v>
      </c>
      <c r="C45" t="s">
        <v>141</v>
      </c>
    </row>
    <row r="46" spans="1:14" x14ac:dyDescent="0.25">
      <c r="A46" s="19" t="s">
        <v>160</v>
      </c>
      <c r="B46" s="24" t="s">
        <v>172</v>
      </c>
    </row>
    <row r="47" spans="1:14" x14ac:dyDescent="0.25">
      <c r="A47" t="s">
        <v>162</v>
      </c>
      <c r="B47" s="20">
        <f>'Bil grundtal'!C50</f>
        <v>0</v>
      </c>
      <c r="C47" t="s">
        <v>142</v>
      </c>
    </row>
    <row r="49" spans="1:3" x14ac:dyDescent="0.25">
      <c r="A49" t="s">
        <v>168</v>
      </c>
      <c r="B49" s="20">
        <f>'Bil grundtal'!C52-(B11*'Bil grundtal'!C52)</f>
        <v>0</v>
      </c>
      <c r="C49" t="s">
        <v>141</v>
      </c>
    </row>
    <row r="50" spans="1:3" x14ac:dyDescent="0.25">
      <c r="A50" s="19" t="s">
        <v>160</v>
      </c>
      <c r="B50" s="24" t="s">
        <v>172</v>
      </c>
    </row>
    <row r="51" spans="1:3" x14ac:dyDescent="0.25">
      <c r="A51" t="s">
        <v>162</v>
      </c>
      <c r="B51" s="20">
        <f>'Bil grundtal'!C53</f>
        <v>0</v>
      </c>
      <c r="C51" t="s">
        <v>142</v>
      </c>
    </row>
    <row r="53" spans="1:3" x14ac:dyDescent="0.25">
      <c r="A53" t="s">
        <v>169</v>
      </c>
      <c r="B53" s="20">
        <f>'Bil grundtal'!C55-(B11*'Bil grundtal'!C55)</f>
        <v>0</v>
      </c>
      <c r="C53" t="s">
        <v>141</v>
      </c>
    </row>
    <row r="54" spans="1:3" x14ac:dyDescent="0.25">
      <c r="A54" t="s">
        <v>170</v>
      </c>
      <c r="B54" s="20">
        <f>'Bil grundtal'!C56-(B11*'Bil grundtal'!C56)</f>
        <v>0</v>
      </c>
      <c r="C54" t="s">
        <v>141</v>
      </c>
    </row>
    <row r="55" spans="1:3" x14ac:dyDescent="0.25">
      <c r="A55" t="s">
        <v>171</v>
      </c>
      <c r="B55" s="20">
        <f>'Bil grundtal'!C57-(B11*'Bil grundtal'!C57)</f>
        <v>0</v>
      </c>
      <c r="C55" t="s">
        <v>141</v>
      </c>
    </row>
    <row r="57" spans="1:3" x14ac:dyDescent="0.25">
      <c r="A57" t="s">
        <v>230</v>
      </c>
      <c r="B57" s="20">
        <f>'Bil grundtal'!C59</f>
        <v>0</v>
      </c>
      <c r="C57" t="s">
        <v>185</v>
      </c>
    </row>
    <row r="58" spans="1:3" x14ac:dyDescent="0.25">
      <c r="A58" t="s">
        <v>231</v>
      </c>
      <c r="B58" s="20">
        <f>'Bil grundtal'!C60</f>
        <v>0</v>
      </c>
      <c r="C58" t="s">
        <v>185</v>
      </c>
    </row>
    <row r="59" spans="1:3" x14ac:dyDescent="0.25">
      <c r="A59" t="s">
        <v>232</v>
      </c>
      <c r="B59" s="20">
        <f>'Bil grundtal'!C61</f>
        <v>0</v>
      </c>
      <c r="C59" t="s">
        <v>185</v>
      </c>
    </row>
    <row r="61" spans="1:3" x14ac:dyDescent="0.25">
      <c r="A61" s="26" t="s">
        <v>186</v>
      </c>
      <c r="B61" s="20">
        <f>B37+B39+B41+B43+B45+B47+B49+B51+B53+B54+B55+B57+B58+B59</f>
        <v>0</v>
      </c>
      <c r="C61" t="s">
        <v>185</v>
      </c>
    </row>
  </sheetData>
  <sheetProtection password="95C7" sheet="1" objects="1" scenarios="1"/>
  <protectedRanges>
    <protectedRange sqref="B10:B11" name="Område1"/>
  </protectedRanges>
  <conditionalFormatting sqref="H7:H8 H20:H21 I15 H14">
    <cfRule type="cellIs" dxfId="63" priority="26" operator="greaterThan">
      <formula>0</formula>
    </cfRule>
  </conditionalFormatting>
  <conditionalFormatting sqref="H28:H29 H31:H32 H34:H35">
    <cfRule type="cellIs" dxfId="62" priority="25" operator="greaterThan">
      <formula>0</formula>
    </cfRule>
  </conditionalFormatting>
  <conditionalFormatting sqref="I7">
    <cfRule type="cellIs" dxfId="61" priority="24" operator="greaterThan">
      <formula>0</formula>
    </cfRule>
  </conditionalFormatting>
  <conditionalFormatting sqref="I14">
    <cfRule type="cellIs" dxfId="60" priority="23" operator="greaterThan">
      <formula>0</formula>
    </cfRule>
  </conditionalFormatting>
  <conditionalFormatting sqref="I20">
    <cfRule type="cellIs" dxfId="59" priority="22" operator="greaterThan">
      <formula>0</formula>
    </cfRule>
  </conditionalFormatting>
  <conditionalFormatting sqref="H11">
    <cfRule type="cellIs" dxfId="58" priority="21" operator="greaterThan">
      <formula>0</formula>
    </cfRule>
  </conditionalFormatting>
  <conditionalFormatting sqref="I11">
    <cfRule type="cellIs" dxfId="57" priority="20" operator="greaterThan">
      <formula>0</formula>
    </cfRule>
  </conditionalFormatting>
  <conditionalFormatting sqref="H17">
    <cfRule type="cellIs" dxfId="56" priority="19" operator="greaterThan">
      <formula>0</formula>
    </cfRule>
  </conditionalFormatting>
  <conditionalFormatting sqref="I17">
    <cfRule type="cellIs" dxfId="55" priority="18" operator="greaterThan">
      <formula>0</formula>
    </cfRule>
  </conditionalFormatting>
  <conditionalFormatting sqref="J8">
    <cfRule type="cellIs" dxfId="54" priority="17" operator="greaterThan">
      <formula>0</formula>
    </cfRule>
  </conditionalFormatting>
  <conditionalFormatting sqref="J21">
    <cfRule type="cellIs" dxfId="53" priority="16" operator="greaterThan">
      <formula>0</formula>
    </cfRule>
  </conditionalFormatting>
  <conditionalFormatting sqref="H24:H25">
    <cfRule type="cellIs" dxfId="52" priority="14" operator="greaterThan">
      <formula>0</formula>
    </cfRule>
  </conditionalFormatting>
  <conditionalFormatting sqref="I24">
    <cfRule type="cellIs" dxfId="51" priority="13" operator="greaterThan">
      <formula>0</formula>
    </cfRule>
  </conditionalFormatting>
  <conditionalFormatting sqref="K24">
    <cfRule type="cellIs" dxfId="50" priority="11" operator="greaterThan">
      <formula>0</formula>
    </cfRule>
  </conditionalFormatting>
  <conditionalFormatting sqref="J25">
    <cfRule type="cellIs" dxfId="49" priority="12" operator="greaterThan">
      <formula>0</formula>
    </cfRule>
  </conditionalFormatting>
  <conditionalFormatting sqref="K28">
    <cfRule type="cellIs" dxfId="48" priority="10" operator="greaterThan">
      <formula>0</formula>
    </cfRule>
  </conditionalFormatting>
  <conditionalFormatting sqref="L29">
    <cfRule type="cellIs" dxfId="47" priority="9" operator="greaterThan">
      <formula>0</formula>
    </cfRule>
  </conditionalFormatting>
  <conditionalFormatting sqref="K31">
    <cfRule type="cellIs" dxfId="46" priority="8" operator="greaterThan">
      <formula>0</formula>
    </cfRule>
  </conditionalFormatting>
  <conditionalFormatting sqref="L32">
    <cfRule type="cellIs" dxfId="45" priority="7" operator="greaterThan">
      <formula>0</formula>
    </cfRule>
  </conditionalFormatting>
  <conditionalFormatting sqref="K34">
    <cfRule type="cellIs" dxfId="44" priority="6" operator="greaterThan">
      <formula>0</formula>
    </cfRule>
  </conditionalFormatting>
  <conditionalFormatting sqref="L35">
    <cfRule type="cellIs" dxfId="43" priority="5" operator="greaterThan">
      <formula>0</formula>
    </cfRule>
  </conditionalFormatting>
  <conditionalFormatting sqref="M37">
    <cfRule type="cellIs" dxfId="42" priority="4" operator="greaterThan">
      <formula>0</formula>
    </cfRule>
  </conditionalFormatting>
  <conditionalFormatting sqref="M38">
    <cfRule type="cellIs" dxfId="41" priority="3" operator="greaterThan">
      <formula>0</formula>
    </cfRule>
  </conditionalFormatting>
  <conditionalFormatting sqref="A7">
    <cfRule type="cellIs" dxfId="40" priority="1" operator="greaterThan">
      <formula>0</formula>
    </cfRule>
    <cfRule type="cellIs" dxfId="39" priority="2" operator="greaterThan">
      <formula>0</formula>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P62"/>
  <sheetViews>
    <sheetView topLeftCell="A37" workbookViewId="0">
      <selection activeCell="D55" sqref="D55"/>
    </sheetView>
  </sheetViews>
  <sheetFormatPr defaultRowHeight="15" x14ac:dyDescent="0.25"/>
  <cols>
    <col min="1" max="1" width="60.42578125" customWidth="1"/>
    <col min="2" max="2" width="7.140625" customWidth="1"/>
    <col min="5" max="5" width="11.140625" customWidth="1"/>
    <col min="6" max="6" width="15.42578125" customWidth="1"/>
    <col min="7" max="7" width="9.42578125" hidden="1" customWidth="1"/>
    <col min="8" max="8" width="13.5703125" customWidth="1"/>
    <col min="9" max="9" width="6" customWidth="1"/>
    <col min="10" max="10" width="5.5703125" customWidth="1"/>
    <col min="12" max="12" width="10.85546875" customWidth="1"/>
    <col min="13" max="13" width="6.85546875" customWidth="1"/>
    <col min="14" max="14" width="6" customWidth="1"/>
    <col min="15" max="15" width="5.140625" customWidth="1"/>
    <col min="16" max="16" width="10.5703125" customWidth="1"/>
  </cols>
  <sheetData>
    <row r="4" spans="1:10" ht="20.25" x14ac:dyDescent="0.3">
      <c r="A4" s="17" t="s">
        <v>204</v>
      </c>
      <c r="H4" s="25" t="s">
        <v>283</v>
      </c>
    </row>
    <row r="5" spans="1:10" x14ac:dyDescent="0.25">
      <c r="A5" s="18" t="s">
        <v>114</v>
      </c>
    </row>
    <row r="6" spans="1:10" x14ac:dyDescent="0.25">
      <c r="A6" s="20" t="s">
        <v>115</v>
      </c>
      <c r="H6" s="26" t="s">
        <v>177</v>
      </c>
    </row>
    <row r="7" spans="1:10" x14ac:dyDescent="0.25">
      <c r="A7" s="20" t="s">
        <v>408</v>
      </c>
      <c r="G7" s="52">
        <f>B17+B22+B27</f>
        <v>0</v>
      </c>
      <c r="H7" s="20">
        <f>ROUNDUP(G7,0)</f>
        <v>0</v>
      </c>
      <c r="I7" t="s">
        <v>120</v>
      </c>
    </row>
    <row r="8" spans="1:10" x14ac:dyDescent="0.25">
      <c r="G8" s="52">
        <f>B19+B24+B29</f>
        <v>0</v>
      </c>
      <c r="H8" t="s">
        <v>174</v>
      </c>
      <c r="I8" s="20">
        <f>ROUNDUP(G8,0)</f>
        <v>0</v>
      </c>
      <c r="J8" t="s">
        <v>203</v>
      </c>
    </row>
    <row r="9" spans="1:10" x14ac:dyDescent="0.25">
      <c r="A9" t="s">
        <v>81</v>
      </c>
      <c r="B9" s="20">
        <f>Förutsättningar!B11</f>
        <v>0</v>
      </c>
      <c r="E9" s="32"/>
      <c r="G9" s="51"/>
    </row>
    <row r="10" spans="1:10" x14ac:dyDescent="0.25">
      <c r="A10" t="s">
        <v>270</v>
      </c>
      <c r="B10" s="50">
        <v>0.1</v>
      </c>
      <c r="C10" t="s">
        <v>336</v>
      </c>
      <c r="G10" s="51"/>
      <c r="H10" s="35" t="s">
        <v>116</v>
      </c>
    </row>
    <row r="11" spans="1:10" x14ac:dyDescent="0.25">
      <c r="A11" t="s">
        <v>206</v>
      </c>
      <c r="B11" s="50">
        <v>0.1</v>
      </c>
      <c r="C11" t="s">
        <v>336</v>
      </c>
      <c r="G11" s="52">
        <f>IF('Bil grundtal'!C34&gt;0,('Bil grundtal'!C34+'Bil grundtal'!C35),IF('Bil grundtal'!C35&gt;0,('Bil grundtal'!C34+'Bil grundtal'!C35),'Bil grundtal'!C36))</f>
        <v>0</v>
      </c>
      <c r="H11" s="20">
        <f>ROUNDUP(G11,0)</f>
        <v>0</v>
      </c>
      <c r="I11" t="s">
        <v>411</v>
      </c>
    </row>
    <row r="12" spans="1:10" x14ac:dyDescent="0.25">
      <c r="G12" s="51"/>
    </row>
    <row r="13" spans="1:10" x14ac:dyDescent="0.25">
      <c r="G13" s="51"/>
      <c r="H13" s="26" t="s">
        <v>259</v>
      </c>
    </row>
    <row r="14" spans="1:10" x14ac:dyDescent="0.25">
      <c r="G14" s="52">
        <f>B31</f>
        <v>0</v>
      </c>
      <c r="H14" s="20">
        <f>ROUNDUP(G14,0)</f>
        <v>0</v>
      </c>
      <c r="I14" t="s">
        <v>187</v>
      </c>
    </row>
    <row r="15" spans="1:10" x14ac:dyDescent="0.25">
      <c r="G15" s="51"/>
    </row>
    <row r="16" spans="1:10" ht="18" x14ac:dyDescent="0.25">
      <c r="A16" s="17" t="s">
        <v>201</v>
      </c>
      <c r="G16" s="51"/>
      <c r="H16" s="35" t="s">
        <v>260</v>
      </c>
    </row>
    <row r="17" spans="1:15" x14ac:dyDescent="0.25">
      <c r="A17" t="s">
        <v>161</v>
      </c>
      <c r="B17" s="20">
        <f>'Red bilpool'!B16-(B10*'Red bilpool'!B16)</f>
        <v>0</v>
      </c>
      <c r="C17" t="s">
        <v>120</v>
      </c>
      <c r="G17" s="52">
        <f>'Bil grundtal'!B39</f>
        <v>0</v>
      </c>
      <c r="H17" s="20">
        <f>ROUNDUP(G17,0)</f>
        <v>0</v>
      </c>
      <c r="I17" t="s">
        <v>411</v>
      </c>
    </row>
    <row r="18" spans="1:15" x14ac:dyDescent="0.25">
      <c r="A18" s="19" t="s">
        <v>189</v>
      </c>
      <c r="G18" s="51"/>
    </row>
    <row r="19" spans="1:15" x14ac:dyDescent="0.25">
      <c r="A19" t="s">
        <v>162</v>
      </c>
      <c r="B19" s="20">
        <f>'Red bilpool'!B18</f>
        <v>0</v>
      </c>
      <c r="C19" t="s">
        <v>142</v>
      </c>
      <c r="G19" s="51"/>
      <c r="H19" s="26" t="s">
        <v>67</v>
      </c>
    </row>
    <row r="20" spans="1:15" x14ac:dyDescent="0.25">
      <c r="G20" s="52">
        <f>B38+B42+B46+B50+B54+B55+B56</f>
        <v>0</v>
      </c>
      <c r="H20" s="20">
        <f>ROUNDUP(G20,0)</f>
        <v>0</v>
      </c>
      <c r="I20" t="s">
        <v>188</v>
      </c>
    </row>
    <row r="21" spans="1:15" x14ac:dyDescent="0.25">
      <c r="A21" s="19" t="s">
        <v>64</v>
      </c>
      <c r="G21" s="52">
        <f>B40+B44+B48+B52+B58+B59+B60</f>
        <v>0</v>
      </c>
      <c r="H21" t="s">
        <v>174</v>
      </c>
      <c r="I21" s="20">
        <f>ROUNDUP(G21,0)</f>
        <v>0</v>
      </c>
      <c r="J21" t="s">
        <v>412</v>
      </c>
    </row>
    <row r="22" spans="1:15" ht="30" x14ac:dyDescent="0.25">
      <c r="A22" s="21" t="s">
        <v>163</v>
      </c>
      <c r="B22" s="20">
        <f>'Red bilpool'!B21-(B10*'Red bilpool'!B21)</f>
        <v>0</v>
      </c>
      <c r="C22" t="s">
        <v>120</v>
      </c>
      <c r="G22" s="51"/>
    </row>
    <row r="23" spans="1:15" x14ac:dyDescent="0.25">
      <c r="A23" s="19" t="s">
        <v>189</v>
      </c>
      <c r="H23" s="26" t="s">
        <v>413</v>
      </c>
    </row>
    <row r="24" spans="1:15" x14ac:dyDescent="0.25">
      <c r="A24" t="s">
        <v>162</v>
      </c>
      <c r="B24" s="20">
        <f>'Red bilpool'!B23</f>
        <v>0</v>
      </c>
      <c r="C24" t="s">
        <v>142</v>
      </c>
      <c r="G24" s="51"/>
      <c r="H24" s="20">
        <f>H7+I8+H11+H14+H17+H20+I21</f>
        <v>0</v>
      </c>
      <c r="I24" t="s">
        <v>173</v>
      </c>
      <c r="J24" s="20">
        <f>H7+H14+H20</f>
        <v>0</v>
      </c>
      <c r="K24" t="s">
        <v>293</v>
      </c>
    </row>
    <row r="25" spans="1:15" x14ac:dyDescent="0.25">
      <c r="G25" s="52" t="b">
        <f>'Red bilpool'!H25</f>
        <v>0</v>
      </c>
      <c r="H25" t="s">
        <v>335</v>
      </c>
      <c r="I25" s="20">
        <f>IF(('Red bilpool'!B10+'Red bilpool'!B11)&gt;0,(ROUNDUP(G25,0)),0)</f>
        <v>0</v>
      </c>
      <c r="J25" t="s">
        <v>300</v>
      </c>
    </row>
    <row r="26" spans="1:15" x14ac:dyDescent="0.25">
      <c r="A26" s="19" t="s">
        <v>64</v>
      </c>
      <c r="G26" s="51"/>
    </row>
    <row r="27" spans="1:15" ht="30" x14ac:dyDescent="0.25">
      <c r="A27" s="21" t="s">
        <v>164</v>
      </c>
      <c r="B27" s="20">
        <f>'Red bilpool'!B26-(B10*'Red bilpool'!B26)</f>
        <v>0</v>
      </c>
      <c r="C27" t="s">
        <v>120</v>
      </c>
      <c r="G27" s="51"/>
    </row>
    <row r="28" spans="1:15" ht="20.25" x14ac:dyDescent="0.3">
      <c r="A28" s="19" t="s">
        <v>189</v>
      </c>
      <c r="G28" s="51"/>
      <c r="H28" s="25" t="s">
        <v>195</v>
      </c>
    </row>
    <row r="29" spans="1:15" x14ac:dyDescent="0.25">
      <c r="A29" t="s">
        <v>162</v>
      </c>
      <c r="B29" s="20">
        <f>'Red bilpool'!B28</f>
        <v>0</v>
      </c>
      <c r="C29" t="s">
        <v>142</v>
      </c>
      <c r="G29" s="52">
        <f>IF('Bil grundtal'!M19=1,'Bil grundtal'!B12,IF('Bil grundtal'!M19=2,'Bil grundtal'!B16,IF('Bil grundtal'!M19=3,'Bil grundtal'!B30,0)))</f>
        <v>0</v>
      </c>
      <c r="H29" t="s">
        <v>196</v>
      </c>
      <c r="J29" s="20">
        <f>ROUNDUP(G29,0)</f>
        <v>0</v>
      </c>
      <c r="K29" t="s">
        <v>198</v>
      </c>
    </row>
    <row r="30" spans="1:15" x14ac:dyDescent="0.25">
      <c r="G30" s="51"/>
      <c r="H30" t="s">
        <v>428</v>
      </c>
      <c r="N30" s="30">
        <f>'Red bilpool'!I7-'Red MM'!H7</f>
        <v>0</v>
      </c>
      <c r="O30" t="s">
        <v>309</v>
      </c>
    </row>
    <row r="31" spans="1:15" ht="30" x14ac:dyDescent="0.25">
      <c r="A31" s="21" t="s">
        <v>176</v>
      </c>
      <c r="B31" s="20">
        <f>'Red bilpool'!B30-(B10*'Red bilpool'!B30)</f>
        <v>0</v>
      </c>
      <c r="G31" s="52">
        <f>J29-H7</f>
        <v>0</v>
      </c>
      <c r="H31" t="s">
        <v>429</v>
      </c>
      <c r="N31" s="30">
        <f>G31</f>
        <v>0</v>
      </c>
      <c r="O31" t="s">
        <v>197</v>
      </c>
    </row>
    <row r="32" spans="1:15" x14ac:dyDescent="0.25">
      <c r="A32" s="21"/>
      <c r="G32" s="51"/>
    </row>
    <row r="33" spans="1:16" x14ac:dyDescent="0.25">
      <c r="A33" s="21"/>
      <c r="G33" s="52">
        <f>'Bil grundtal'!B40</f>
        <v>0</v>
      </c>
      <c r="H33" t="s">
        <v>196</v>
      </c>
      <c r="J33" s="20">
        <f>ROUNDUP(G33,0)</f>
        <v>0</v>
      </c>
      <c r="K33" t="s">
        <v>199</v>
      </c>
    </row>
    <row r="34" spans="1:16" x14ac:dyDescent="0.25">
      <c r="A34" s="21"/>
      <c r="H34" t="s">
        <v>428</v>
      </c>
      <c r="N34" s="30">
        <f>'Red bilpool'!I14-'Red MM'!H14</f>
        <v>0</v>
      </c>
      <c r="O34" t="s">
        <v>309</v>
      </c>
    </row>
    <row r="35" spans="1:16" x14ac:dyDescent="0.25">
      <c r="A35" s="21"/>
      <c r="G35" s="52">
        <f>J33-H14</f>
        <v>0</v>
      </c>
      <c r="H35" t="s">
        <v>429</v>
      </c>
      <c r="N35" s="20">
        <f>G35</f>
        <v>0</v>
      </c>
      <c r="O35" t="s">
        <v>197</v>
      </c>
    </row>
    <row r="36" spans="1:16" x14ac:dyDescent="0.25">
      <c r="G36" s="51"/>
    </row>
    <row r="37" spans="1:16" ht="18" x14ac:dyDescent="0.25">
      <c r="A37" s="17" t="s">
        <v>202</v>
      </c>
      <c r="G37" s="52">
        <f>'Bil grundtal'!B44+'Bil grundtal'!B47+'Bil grundtal'!B49+'Bil grundtal'!B52+'Bil grundtal'!B55+'Bil grundtal'!B56+'Bil grundtal'!B57</f>
        <v>0</v>
      </c>
      <c r="H37" t="s">
        <v>196</v>
      </c>
      <c r="J37" s="20">
        <f>ROUNDUP(G37,0)</f>
        <v>0</v>
      </c>
      <c r="K37" t="s">
        <v>200</v>
      </c>
    </row>
    <row r="38" spans="1:16" x14ac:dyDescent="0.25">
      <c r="A38" t="s">
        <v>165</v>
      </c>
      <c r="B38" s="20">
        <f>'Red bilpool'!B37-($B$11*'Red bilpool'!B37)</f>
        <v>0</v>
      </c>
      <c r="C38" t="s">
        <v>141</v>
      </c>
      <c r="G38" s="51"/>
      <c r="H38" t="s">
        <v>430</v>
      </c>
      <c r="O38" s="20">
        <f>'Red bilpool'!I20-'Red MM'!H20</f>
        <v>0</v>
      </c>
      <c r="P38" t="s">
        <v>309</v>
      </c>
    </row>
    <row r="39" spans="1:16" x14ac:dyDescent="0.25">
      <c r="A39" s="19" t="s">
        <v>160</v>
      </c>
      <c r="B39" s="24" t="s">
        <v>172</v>
      </c>
      <c r="G39" s="52">
        <f>J37-H20</f>
        <v>0</v>
      </c>
      <c r="H39" t="s">
        <v>429</v>
      </c>
      <c r="O39" s="20">
        <f>G39</f>
        <v>0</v>
      </c>
      <c r="P39" t="s">
        <v>197</v>
      </c>
    </row>
    <row r="40" spans="1:16" x14ac:dyDescent="0.25">
      <c r="A40" t="s">
        <v>162</v>
      </c>
      <c r="B40" s="20">
        <f>'Red bilpool'!$B$39</f>
        <v>0</v>
      </c>
      <c r="C40" t="s">
        <v>142</v>
      </c>
    </row>
    <row r="41" spans="1:16" x14ac:dyDescent="0.25">
      <c r="H41" s="26" t="s">
        <v>265</v>
      </c>
      <c r="I41" s="30">
        <f>N30+O38</f>
        <v>0</v>
      </c>
      <c r="J41" s="26" t="s">
        <v>310</v>
      </c>
    </row>
    <row r="42" spans="1:16" x14ac:dyDescent="0.25">
      <c r="A42" t="s">
        <v>166</v>
      </c>
      <c r="B42" s="20">
        <f>'Red bilpool'!B41-($B$11*'Red bilpool'!B41)</f>
        <v>0</v>
      </c>
      <c r="C42" t="s">
        <v>141</v>
      </c>
      <c r="H42" s="26" t="s">
        <v>265</v>
      </c>
      <c r="I42" s="30">
        <f>N31+N35+O39</f>
        <v>0</v>
      </c>
      <c r="J42" s="26" t="s">
        <v>431</v>
      </c>
    </row>
    <row r="43" spans="1:16" x14ac:dyDescent="0.25">
      <c r="A43" s="19" t="s">
        <v>160</v>
      </c>
      <c r="B43" s="24" t="s">
        <v>172</v>
      </c>
      <c r="G43" s="26"/>
      <c r="J43" s="26"/>
    </row>
    <row r="44" spans="1:16" x14ac:dyDescent="0.25">
      <c r="A44" t="s">
        <v>162</v>
      </c>
      <c r="B44" s="27">
        <f>'Red bilpool'!$B$43</f>
        <v>0</v>
      </c>
      <c r="C44" t="s">
        <v>142</v>
      </c>
    </row>
    <row r="46" spans="1:16" x14ac:dyDescent="0.25">
      <c r="A46" t="s">
        <v>167</v>
      </c>
      <c r="B46" s="20">
        <f>'Red bilpool'!B45-($B$11*'Red bilpool'!B45)</f>
        <v>0</v>
      </c>
      <c r="C46" t="s">
        <v>141</v>
      </c>
    </row>
    <row r="47" spans="1:16" x14ac:dyDescent="0.25">
      <c r="A47" s="19" t="s">
        <v>160</v>
      </c>
      <c r="B47" s="24" t="s">
        <v>172</v>
      </c>
    </row>
    <row r="48" spans="1:16" x14ac:dyDescent="0.25">
      <c r="A48" t="s">
        <v>162</v>
      </c>
      <c r="B48" s="20">
        <f>'Red bilpool'!$B$47</f>
        <v>0</v>
      </c>
      <c r="C48" t="s">
        <v>142</v>
      </c>
    </row>
    <row r="50" spans="1:3" x14ac:dyDescent="0.25">
      <c r="A50" t="s">
        <v>168</v>
      </c>
      <c r="B50" s="20">
        <f>'Red bilpool'!B49-($B$11*'Red bilpool'!B49)</f>
        <v>0</v>
      </c>
      <c r="C50" t="s">
        <v>141</v>
      </c>
    </row>
    <row r="51" spans="1:3" x14ac:dyDescent="0.25">
      <c r="A51" s="19" t="s">
        <v>160</v>
      </c>
      <c r="B51" s="24" t="s">
        <v>172</v>
      </c>
    </row>
    <row r="52" spans="1:3" x14ac:dyDescent="0.25">
      <c r="A52" t="s">
        <v>162</v>
      </c>
      <c r="B52" s="20">
        <f>'Red bilpool'!$B$51</f>
        <v>0</v>
      </c>
      <c r="C52" t="s">
        <v>142</v>
      </c>
    </row>
    <row r="54" spans="1:3" x14ac:dyDescent="0.25">
      <c r="A54" t="s">
        <v>169</v>
      </c>
      <c r="B54" s="20">
        <f>'Red bilpool'!B53-($B$11*'Red bilpool'!B53)</f>
        <v>0</v>
      </c>
      <c r="C54" t="s">
        <v>141</v>
      </c>
    </row>
    <row r="55" spans="1:3" x14ac:dyDescent="0.25">
      <c r="A55" t="s">
        <v>170</v>
      </c>
      <c r="B55" s="20">
        <f>'Red bilpool'!B54-($B$11*'Red bilpool'!B54)</f>
        <v>0</v>
      </c>
      <c r="C55" t="s">
        <v>141</v>
      </c>
    </row>
    <row r="56" spans="1:3" x14ac:dyDescent="0.25">
      <c r="A56" t="s">
        <v>171</v>
      </c>
      <c r="B56" s="20">
        <f>'Red bilpool'!B55-($B$11*'Red bilpool'!B55)</f>
        <v>0</v>
      </c>
      <c r="C56" t="s">
        <v>141</v>
      </c>
    </row>
    <row r="58" spans="1:3" x14ac:dyDescent="0.25">
      <c r="A58" t="s">
        <v>230</v>
      </c>
      <c r="B58" s="20">
        <f>'Bil grundtal'!B59</f>
        <v>0</v>
      </c>
      <c r="C58" t="s">
        <v>185</v>
      </c>
    </row>
    <row r="59" spans="1:3" x14ac:dyDescent="0.25">
      <c r="A59" t="s">
        <v>231</v>
      </c>
      <c r="B59" s="20">
        <f>'Bil grundtal'!B60</f>
        <v>0</v>
      </c>
      <c r="C59" t="s">
        <v>185</v>
      </c>
    </row>
    <row r="60" spans="1:3" x14ac:dyDescent="0.25">
      <c r="A60" t="s">
        <v>232</v>
      </c>
      <c r="B60" s="20">
        <f>'Bil grundtal'!B61</f>
        <v>0</v>
      </c>
      <c r="C60" t="s">
        <v>185</v>
      </c>
    </row>
    <row r="62" spans="1:3" x14ac:dyDescent="0.25">
      <c r="A62" s="26" t="s">
        <v>186</v>
      </c>
      <c r="B62" s="20">
        <f>B38+B40+B42+B44+B46+B48+B50+B52+B54+B55+B56+B58+B59+B60</f>
        <v>0</v>
      </c>
      <c r="C62" t="s">
        <v>185</v>
      </c>
    </row>
  </sheetData>
  <sheetProtection password="95C7" sheet="1" objects="1" scenarios="1"/>
  <protectedRanges>
    <protectedRange sqref="B10:B11" name="Område1"/>
  </protectedRanges>
  <conditionalFormatting sqref="G7:G8 G14 G20:G21 G24:G25 G29 G31 G37 G39 G33 G35">
    <cfRule type="cellIs" dxfId="38" priority="34" operator="greaterThan">
      <formula>0</formula>
    </cfRule>
  </conditionalFormatting>
  <conditionalFormatting sqref="H14">
    <cfRule type="cellIs" dxfId="37" priority="28" operator="greaterThan">
      <formula>0</formula>
    </cfRule>
  </conditionalFormatting>
  <conditionalFormatting sqref="G17">
    <cfRule type="cellIs" dxfId="36" priority="31" operator="greaterThan">
      <formula>0</formula>
    </cfRule>
  </conditionalFormatting>
  <conditionalFormatting sqref="H7">
    <cfRule type="cellIs" dxfId="35" priority="30" operator="greaterThan">
      <formula>0</formula>
    </cfRule>
  </conditionalFormatting>
  <conditionalFormatting sqref="H11">
    <cfRule type="cellIs" dxfId="34" priority="29" operator="greaterThan">
      <formula>0</formula>
    </cfRule>
  </conditionalFormatting>
  <conditionalFormatting sqref="H17">
    <cfRule type="cellIs" dxfId="33" priority="27" operator="greaterThan">
      <formula>0</formula>
    </cfRule>
  </conditionalFormatting>
  <conditionalFormatting sqref="H20">
    <cfRule type="cellIs" dxfId="32" priority="26" operator="greaterThan">
      <formula>0</formula>
    </cfRule>
  </conditionalFormatting>
  <conditionalFormatting sqref="H24">
    <cfRule type="cellIs" dxfId="31" priority="25" operator="greaterThan">
      <formula>0</formula>
    </cfRule>
  </conditionalFormatting>
  <conditionalFormatting sqref="I8">
    <cfRule type="cellIs" dxfId="30" priority="24" operator="greaterThan">
      <formula>0</formula>
    </cfRule>
  </conditionalFormatting>
  <conditionalFormatting sqref="I21">
    <cfRule type="cellIs" dxfId="29" priority="23" operator="greaterThan">
      <formula>0</formula>
    </cfRule>
  </conditionalFormatting>
  <conditionalFormatting sqref="J24">
    <cfRule type="cellIs" dxfId="28" priority="14" operator="greaterThan">
      <formula>0</formula>
    </cfRule>
  </conditionalFormatting>
  <conditionalFormatting sqref="I25">
    <cfRule type="cellIs" dxfId="27" priority="21" operator="greaterThan">
      <formula>0</formula>
    </cfRule>
  </conditionalFormatting>
  <conditionalFormatting sqref="J29">
    <cfRule type="cellIs" dxfId="26" priority="20" operator="greaterThan">
      <formula>0</formula>
    </cfRule>
  </conditionalFormatting>
  <conditionalFormatting sqref="J33">
    <cfRule type="cellIs" dxfId="25" priority="19" operator="greaterThan">
      <formula>0</formula>
    </cfRule>
  </conditionalFormatting>
  <conditionalFormatting sqref="J37">
    <cfRule type="cellIs" dxfId="24" priority="18" operator="greaterThan">
      <formula>0</formula>
    </cfRule>
  </conditionalFormatting>
  <conditionalFormatting sqref="N31">
    <cfRule type="cellIs" dxfId="23" priority="17" operator="greaterThan">
      <formula>0</formula>
    </cfRule>
  </conditionalFormatting>
  <conditionalFormatting sqref="O39">
    <cfRule type="cellIs" dxfId="22" priority="16" operator="greaterThan">
      <formula>0</formula>
    </cfRule>
  </conditionalFormatting>
  <conditionalFormatting sqref="N35">
    <cfRule type="cellIs" dxfId="21" priority="15" operator="greaterThan">
      <formula>0</formula>
    </cfRule>
  </conditionalFormatting>
  <conditionalFormatting sqref="I42">
    <cfRule type="cellIs" dxfId="20" priority="10" operator="greaterThan">
      <formula>0</formula>
    </cfRule>
  </conditionalFormatting>
  <conditionalFormatting sqref="G11">
    <cfRule type="cellIs" dxfId="19" priority="12" operator="greaterThan">
      <formula>0</formula>
    </cfRule>
  </conditionalFormatting>
  <conditionalFormatting sqref="N30">
    <cfRule type="cellIs" dxfId="18" priority="8" operator="greaterThan">
      <formula>0</formula>
    </cfRule>
  </conditionalFormatting>
  <conditionalFormatting sqref="O38">
    <cfRule type="cellIs" dxfId="17" priority="6" operator="greaterThan">
      <formula>0</formula>
    </cfRule>
  </conditionalFormatting>
  <conditionalFormatting sqref="I41">
    <cfRule type="cellIs" dxfId="16" priority="5" operator="greaterThan">
      <formula>0</formula>
    </cfRule>
  </conditionalFormatting>
  <conditionalFormatting sqref="A7">
    <cfRule type="cellIs" dxfId="15" priority="3" operator="greaterThan">
      <formula>0</formula>
    </cfRule>
    <cfRule type="cellIs" dxfId="14" priority="4" operator="greaterThan">
      <formula>0</formula>
    </cfRule>
  </conditionalFormatting>
  <conditionalFormatting sqref="N34">
    <cfRule type="cellIs" dxfId="13" priority="2" operator="greaterThan">
      <formula>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J52"/>
  <sheetViews>
    <sheetView workbookViewId="0">
      <selection activeCell="A4" sqref="A4"/>
    </sheetView>
  </sheetViews>
  <sheetFormatPr defaultRowHeight="15" x14ac:dyDescent="0.25"/>
  <cols>
    <col min="1" max="1" width="48.5703125" customWidth="1"/>
    <col min="10" max="10" width="15.42578125" customWidth="1"/>
    <col min="18" max="19" width="9.140625" customWidth="1"/>
  </cols>
  <sheetData>
    <row r="4" spans="1:10" ht="18" x14ac:dyDescent="0.25">
      <c r="A4" s="17" t="s">
        <v>239</v>
      </c>
    </row>
    <row r="5" spans="1:10" x14ac:dyDescent="0.25">
      <c r="A5" s="18" t="s">
        <v>114</v>
      </c>
    </row>
    <row r="6" spans="1:10" x14ac:dyDescent="0.25">
      <c r="A6" s="20" t="s">
        <v>115</v>
      </c>
    </row>
    <row r="7" spans="1:10" x14ac:dyDescent="0.25">
      <c r="A7" s="20" t="s">
        <v>408</v>
      </c>
    </row>
    <row r="9" spans="1:10" x14ac:dyDescent="0.25">
      <c r="A9" t="s">
        <v>81</v>
      </c>
      <c r="B9" s="20">
        <f>Förutsättningar!B11</f>
        <v>0</v>
      </c>
    </row>
    <row r="15" spans="1:10" x14ac:dyDescent="0.25">
      <c r="J15" s="32"/>
    </row>
    <row r="16" spans="1:10" x14ac:dyDescent="0.25">
      <c r="A16" s="32"/>
    </row>
    <row r="20" spans="1:6" ht="18" x14ac:dyDescent="0.25">
      <c r="A20" s="17" t="s">
        <v>220</v>
      </c>
    </row>
    <row r="22" spans="1:6" ht="30" x14ac:dyDescent="0.25">
      <c r="B22" s="28" t="s">
        <v>217</v>
      </c>
      <c r="C22" s="28" t="s">
        <v>218</v>
      </c>
      <c r="D22" s="28" t="s">
        <v>219</v>
      </c>
      <c r="E22" s="28" t="s">
        <v>208</v>
      </c>
      <c r="F22" s="28"/>
    </row>
    <row r="23" spans="1:6" x14ac:dyDescent="0.25">
      <c r="A23" s="26" t="s">
        <v>209</v>
      </c>
      <c r="B23" s="29">
        <f>B45*('Red MM'!$G7+'Red MM'!$G11+'Red MM'!$G14)</f>
        <v>0</v>
      </c>
      <c r="C23" s="29">
        <f>C45*('Red MM'!$G7+'Red MM'!$G11+'Red MM'!$G14)</f>
        <v>0</v>
      </c>
      <c r="D23" s="29">
        <f>D45*('Red MM'!$G7+'Red MM'!$G11+'Red MM'!$G14)</f>
        <v>0</v>
      </c>
      <c r="E23" s="29">
        <f>E45*('Red MM'!$G7+'Red MM'!$G11+'Red MM'!$G14)</f>
        <v>0</v>
      </c>
      <c r="F23" s="29"/>
    </row>
    <row r="24" spans="1:6" x14ac:dyDescent="0.25">
      <c r="A24" s="26" t="s">
        <v>210</v>
      </c>
      <c r="B24" s="29">
        <f>B46*'Red MM'!$G8</f>
        <v>0</v>
      </c>
      <c r="C24" s="29">
        <f>C46*'Red MM'!$G8</f>
        <v>0</v>
      </c>
      <c r="D24" s="29">
        <f>D46*'Red MM'!$G8</f>
        <v>0</v>
      </c>
      <c r="E24" s="29">
        <f>E46*'Red MM'!$G8</f>
        <v>0</v>
      </c>
      <c r="F24" s="29"/>
    </row>
    <row r="25" spans="1:6" x14ac:dyDescent="0.25">
      <c r="A25" s="26" t="s">
        <v>211</v>
      </c>
      <c r="B25" s="29">
        <f>B47*('Red MM'!$B42+'Red MM'!$B44)</f>
        <v>0</v>
      </c>
      <c r="C25" s="29">
        <f>C47*('Red MM'!$B42+'Red MM'!$B44)</f>
        <v>0</v>
      </c>
      <c r="D25" s="29">
        <f>D47*('Red MM'!$B42+'Red MM'!$B44)</f>
        <v>0</v>
      </c>
      <c r="E25" s="29">
        <f>E47*('Red MM'!$B42+'Red MM'!$B44)</f>
        <v>0</v>
      </c>
      <c r="F25" s="29"/>
    </row>
    <row r="26" spans="1:6" x14ac:dyDescent="0.25">
      <c r="A26" s="26" t="s">
        <v>212</v>
      </c>
      <c r="B26" s="29">
        <f>B48*('Red MM'!$B38+'Red MM'!$B40)</f>
        <v>0</v>
      </c>
      <c r="C26" s="29">
        <f>C48*('Red MM'!$B38+'Red MM'!$B40)</f>
        <v>0</v>
      </c>
      <c r="D26" s="29">
        <f>D48*('Red MM'!$B38+'Red MM'!$B40)</f>
        <v>0</v>
      </c>
      <c r="E26" s="29">
        <f>E48*('Red MM'!$B38+'Red MM'!$B40)</f>
        <v>0</v>
      </c>
      <c r="F26" s="29"/>
    </row>
    <row r="27" spans="1:6" x14ac:dyDescent="0.25">
      <c r="A27" s="26" t="s">
        <v>213</v>
      </c>
      <c r="B27" s="29">
        <f>B49*('Red MM'!$B46+'Red MM'!$B48+'Red MM'!$B50+'Red MM'!$B52)</f>
        <v>0</v>
      </c>
      <c r="C27" s="29">
        <f>C49*('Red MM'!$B46+'Red MM'!$B48+'Red MM'!$B50+'Red MM'!$B52)</f>
        <v>0</v>
      </c>
      <c r="D27" s="29">
        <f>D49*('Red MM'!$B46+'Red MM'!$B48+'Red MM'!$B50+'Red MM'!$B52)</f>
        <v>0</v>
      </c>
      <c r="E27" s="29">
        <f>E49*('Red MM'!$B46+'Red MM'!$B48+'Red MM'!$B50+'Red MM'!$B52)</f>
        <v>0</v>
      </c>
      <c r="F27" s="29"/>
    </row>
    <row r="28" spans="1:6" x14ac:dyDescent="0.25">
      <c r="A28" s="26" t="s">
        <v>214</v>
      </c>
      <c r="B28" s="29">
        <f>B50*('Red MM'!$B54+'Red MM'!$B55+'Red MM'!$B56)</f>
        <v>0</v>
      </c>
      <c r="C28" s="29">
        <f>C50*('Red MM'!$B54+'Red MM'!$B55+'Red MM'!$B56)</f>
        <v>0</v>
      </c>
      <c r="D28" s="29">
        <f>D50*('Red MM'!$B54+'Red MM'!$B55+'Red MM'!$B56)</f>
        <v>0</v>
      </c>
      <c r="E28" s="29">
        <f>E50*('Red MM'!$B54+'Red MM'!$B55+'Red MM'!$B56)</f>
        <v>0</v>
      </c>
      <c r="F28" s="29"/>
    </row>
    <row r="29" spans="1:6" x14ac:dyDescent="0.25">
      <c r="A29" s="26" t="s">
        <v>215</v>
      </c>
      <c r="B29" s="29">
        <f>B51*'Red MM'!$B58</f>
        <v>0</v>
      </c>
      <c r="C29" s="29">
        <f>C51*'Red MM'!$B58</f>
        <v>0</v>
      </c>
      <c r="D29" s="29">
        <f>D51*'Red MM'!$B58</f>
        <v>0</v>
      </c>
      <c r="E29" s="29">
        <f>E51*'Red MM'!$B58</f>
        <v>0</v>
      </c>
      <c r="F29" s="29"/>
    </row>
    <row r="30" spans="1:6" x14ac:dyDescent="0.25">
      <c r="A30" s="26" t="s">
        <v>216</v>
      </c>
      <c r="B30" s="29">
        <f>B52*('Red MM'!$B59+'Red MM'!$B60)</f>
        <v>0</v>
      </c>
      <c r="C30" s="29">
        <f>C52*('Red MM'!$B59+'Red MM'!$B60)</f>
        <v>0</v>
      </c>
      <c r="D30" s="29">
        <f>D52*('Red MM'!$B59+'Red MM'!$B60)</f>
        <v>0</v>
      </c>
      <c r="E30" s="29">
        <f>E52*('Red MM'!$B59+'Red MM'!$B60)</f>
        <v>0</v>
      </c>
      <c r="F30" s="29"/>
    </row>
    <row r="31" spans="1:6" x14ac:dyDescent="0.25">
      <c r="A31" s="26" t="s">
        <v>233</v>
      </c>
      <c r="B31" s="33">
        <f>SUM(B23:B30)</f>
        <v>0</v>
      </c>
      <c r="C31" s="33">
        <f t="shared" ref="C31:E31" si="0">SUM(C23:C30)</f>
        <v>0</v>
      </c>
      <c r="D31" s="33">
        <f t="shared" si="0"/>
        <v>0</v>
      </c>
      <c r="E31" s="33">
        <f t="shared" si="0"/>
        <v>0</v>
      </c>
      <c r="F31" s="33"/>
    </row>
    <row r="33" spans="1:6" x14ac:dyDescent="0.25">
      <c r="A33" s="31" t="s">
        <v>234</v>
      </c>
      <c r="B33" s="26" t="str">
        <f>IF(E35=B31,B22,IF(E35=C31,C22,IF(E35=D31,D22,IF(E35=E31,E22,0))))</f>
        <v xml:space="preserve">Vardag kl 10-16 </v>
      </c>
    </row>
    <row r="35" spans="1:6" x14ac:dyDescent="0.25">
      <c r="A35" s="31" t="s">
        <v>237</v>
      </c>
      <c r="E35" s="30">
        <f>ROUNDUP(MAX(B31,C31,D31,E31),0)</f>
        <v>0</v>
      </c>
      <c r="F35" t="s">
        <v>248</v>
      </c>
    </row>
    <row r="36" spans="1:6" x14ac:dyDescent="0.25">
      <c r="A36" s="36" t="s">
        <v>302</v>
      </c>
      <c r="B36" s="30">
        <f>'Red MM'!I25</f>
        <v>0</v>
      </c>
      <c r="C36" t="s">
        <v>303</v>
      </c>
    </row>
    <row r="37" spans="1:6" x14ac:dyDescent="0.25">
      <c r="A37" s="31" t="s">
        <v>266</v>
      </c>
      <c r="B37" s="30">
        <f>'Bil grundtal'!C39</f>
        <v>0</v>
      </c>
      <c r="C37" t="s">
        <v>261</v>
      </c>
    </row>
    <row r="38" spans="1:6" x14ac:dyDescent="0.25">
      <c r="A38" s="31"/>
    </row>
    <row r="39" spans="1:6" x14ac:dyDescent="0.25">
      <c r="A39" s="42" t="s">
        <v>435</v>
      </c>
      <c r="B39" s="70">
        <f>E35+B36+B37</f>
        <v>0</v>
      </c>
      <c r="C39" s="42" t="s">
        <v>235</v>
      </c>
      <c r="E39" s="42"/>
    </row>
    <row r="40" spans="1:6" x14ac:dyDescent="0.25">
      <c r="A40" t="s">
        <v>267</v>
      </c>
      <c r="B40" s="30">
        <f>'Red MM'!H24-E35-B37</f>
        <v>0</v>
      </c>
      <c r="C40" t="s">
        <v>285</v>
      </c>
    </row>
    <row r="42" spans="1:6" ht="18" x14ac:dyDescent="0.25">
      <c r="A42" s="17" t="s">
        <v>236</v>
      </c>
    </row>
    <row r="43" spans="1:6" x14ac:dyDescent="0.25">
      <c r="A43" t="s">
        <v>238</v>
      </c>
    </row>
    <row r="44" spans="1:6" ht="30" x14ac:dyDescent="0.25">
      <c r="A44" s="28" t="s">
        <v>207</v>
      </c>
      <c r="B44" s="28" t="s">
        <v>217</v>
      </c>
      <c r="C44" s="28" t="s">
        <v>218</v>
      </c>
      <c r="D44" s="28" t="s">
        <v>219</v>
      </c>
      <c r="E44" s="28" t="s">
        <v>208</v>
      </c>
    </row>
    <row r="45" spans="1:6" x14ac:dyDescent="0.25">
      <c r="A45" t="s">
        <v>209</v>
      </c>
      <c r="B45" s="34">
        <v>0.9</v>
      </c>
      <c r="C45" s="34">
        <v>0.9</v>
      </c>
      <c r="D45" s="34">
        <v>0.9</v>
      </c>
      <c r="E45" s="34">
        <v>0.9</v>
      </c>
      <c r="F45" s="34"/>
    </row>
    <row r="46" spans="1:6" x14ac:dyDescent="0.25">
      <c r="A46" t="s">
        <v>210</v>
      </c>
      <c r="B46" s="34">
        <v>0.3</v>
      </c>
      <c r="C46" s="34">
        <v>0.7</v>
      </c>
      <c r="D46" s="34">
        <v>0.4</v>
      </c>
      <c r="E46" s="34">
        <v>0.5</v>
      </c>
      <c r="F46" s="34"/>
    </row>
    <row r="47" spans="1:6" x14ac:dyDescent="0.25">
      <c r="A47" t="s">
        <v>211</v>
      </c>
      <c r="B47" s="34">
        <v>0.7</v>
      </c>
      <c r="C47" s="34">
        <v>0.1</v>
      </c>
      <c r="D47" s="34">
        <v>0.05</v>
      </c>
      <c r="E47" s="34">
        <v>0.1</v>
      </c>
      <c r="F47" s="34"/>
    </row>
    <row r="48" spans="1:6" x14ac:dyDescent="0.25">
      <c r="A48" t="s">
        <v>212</v>
      </c>
      <c r="B48" s="34">
        <v>0.7</v>
      </c>
      <c r="C48" s="34">
        <v>0.2</v>
      </c>
      <c r="D48" s="34">
        <v>0.1</v>
      </c>
      <c r="E48" s="34">
        <v>0.2</v>
      </c>
      <c r="F48" s="34"/>
    </row>
    <row r="49" spans="1:6" x14ac:dyDescent="0.25">
      <c r="A49" t="s">
        <v>213</v>
      </c>
      <c r="B49" s="34">
        <v>0.4</v>
      </c>
      <c r="C49" s="34">
        <v>0.7</v>
      </c>
      <c r="D49" s="34">
        <v>1</v>
      </c>
      <c r="E49" s="34">
        <v>0</v>
      </c>
      <c r="F49" s="34"/>
    </row>
    <row r="50" spans="1:6" x14ac:dyDescent="0.25">
      <c r="A50" t="s">
        <v>214</v>
      </c>
      <c r="B50" s="34">
        <v>0.9</v>
      </c>
      <c r="C50" s="34">
        <v>0.1</v>
      </c>
      <c r="D50" s="34">
        <v>0.05</v>
      </c>
      <c r="E50" s="34">
        <v>0</v>
      </c>
      <c r="F50" s="34"/>
    </row>
    <row r="51" spans="1:6" x14ac:dyDescent="0.25">
      <c r="A51" t="s">
        <v>215</v>
      </c>
      <c r="B51" s="34">
        <v>0.5</v>
      </c>
      <c r="C51" s="34">
        <v>0.5</v>
      </c>
      <c r="D51" s="34">
        <v>0.3</v>
      </c>
      <c r="E51" s="34">
        <v>0.8</v>
      </c>
      <c r="F51" s="34"/>
    </row>
    <row r="52" spans="1:6" x14ac:dyDescent="0.25">
      <c r="A52" t="s">
        <v>216</v>
      </c>
      <c r="B52" s="34">
        <v>0.75</v>
      </c>
      <c r="C52" s="34">
        <v>0.4</v>
      </c>
      <c r="D52" s="34">
        <v>0.6</v>
      </c>
      <c r="E52" s="34">
        <v>0</v>
      </c>
      <c r="F52" s="34"/>
    </row>
  </sheetData>
  <sheetProtection password="95C7" sheet="1" objects="1" scenarios="1"/>
  <conditionalFormatting sqref="E35">
    <cfRule type="cellIs" dxfId="12" priority="7" operator="greaterThan">
      <formula>0</formula>
    </cfRule>
  </conditionalFormatting>
  <conditionalFormatting sqref="B37:B38">
    <cfRule type="cellIs" dxfId="11" priority="6" operator="greaterThan">
      <formula>0</formula>
    </cfRule>
  </conditionalFormatting>
  <conditionalFormatting sqref="B40">
    <cfRule type="cellIs" dxfId="10" priority="5" operator="greaterThan">
      <formula>0</formula>
    </cfRule>
  </conditionalFormatting>
  <conditionalFormatting sqref="B36">
    <cfRule type="cellIs" dxfId="9" priority="4" operator="greaterThan">
      <formula>0</formula>
    </cfRule>
  </conditionalFormatting>
  <conditionalFormatting sqref="A7">
    <cfRule type="cellIs" dxfId="8" priority="2" operator="greaterThan">
      <formula>0</formula>
    </cfRule>
    <cfRule type="cellIs" dxfId="7" priority="3" operator="greaterThan">
      <formula>0</formula>
    </cfRule>
  </conditionalFormatting>
  <conditionalFormatting sqref="B39">
    <cfRule type="cellIs" dxfId="6" priority="1" operator="greaterThan">
      <formula>0</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Introduktion</vt:lpstr>
      <vt:lpstr>Checklista</vt:lpstr>
      <vt:lpstr>Förutsättningar</vt:lpstr>
      <vt:lpstr>Resultat</vt:lpstr>
      <vt:lpstr>Cykel</vt:lpstr>
      <vt:lpstr>Bil grundtal</vt:lpstr>
      <vt:lpstr>Red bilpool</vt:lpstr>
      <vt:lpstr>Red MM</vt:lpstr>
      <vt:lpstr>Red samnyttjande ALLA</vt:lpstr>
      <vt:lpstr>Red samnyttjande DELVIS</vt:lpstr>
      <vt:lpstr>Ptal bil</vt:lpstr>
      <vt:lpstr>Ptal cykel</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Viklund, Linnea</dc:creator>
  <cp:lastModifiedBy>José Rufo Gonzalez</cp:lastModifiedBy>
  <dcterms:created xsi:type="dcterms:W3CDTF">2014-07-21T13:26:14Z</dcterms:created>
  <dcterms:modified xsi:type="dcterms:W3CDTF">2022-03-14T08:18:38Z</dcterms:modified>
</cp:coreProperties>
</file>